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file ka olva\Semester 7\skrispi\sampel\"/>
    </mc:Choice>
  </mc:AlternateContent>
  <bookViews>
    <workbookView xWindow="0" yWindow="0" windowWidth="10215" windowHeight="7290" firstSheet="9" activeTab="10"/>
  </bookViews>
  <sheets>
    <sheet name="Sampel" sheetId="10" r:id="rId1"/>
    <sheet name="X1" sheetId="1" r:id="rId2"/>
    <sheet name="X2" sheetId="2" r:id="rId3"/>
    <sheet name="X3" sheetId="3" r:id="rId4"/>
    <sheet name="X3 (2)" sheetId="7" r:id="rId5"/>
    <sheet name="X3 (3)" sheetId="8" r:id="rId6"/>
    <sheet name="Z" sheetId="6" r:id="rId7"/>
    <sheet name="Y" sheetId="9" r:id="rId8"/>
    <sheet name="kuartil X3" sheetId="13" r:id="rId9"/>
    <sheet name="DATA" sheetId="11" r:id="rId10"/>
    <sheet name="OLAH DATA" sheetId="14" r:id="rId11"/>
  </sheets>
  <definedNames>
    <definedName name="_xlnm._FilterDatabase" localSheetId="9" hidden="1">DATA!$A$1:$G$406</definedName>
    <definedName name="_xlnm._FilterDatabase" localSheetId="10" hidden="1">'OLAH DATA'!$A$1:$J$256</definedName>
  </definedNames>
  <calcPr calcId="152511"/>
</workbook>
</file>

<file path=xl/calcChain.xml><?xml version="1.0" encoding="utf-8"?>
<calcChain xmlns="http://schemas.openxmlformats.org/spreadsheetml/2006/main">
  <c r="D130" i="8" l="1"/>
  <c r="E130" i="7"/>
  <c r="E130" i="3"/>
  <c r="E62" i="7"/>
  <c r="J3" i="14" l="1"/>
  <c r="J4" i="14"/>
  <c r="J5" i="14"/>
  <c r="J6" i="14"/>
  <c r="J7" i="14"/>
  <c r="J8" i="14"/>
  <c r="J9" i="14"/>
  <c r="J10" i="14"/>
  <c r="J12" i="14"/>
  <c r="J11" i="14"/>
  <c r="J13" i="14"/>
  <c r="J14" i="14"/>
  <c r="J16" i="14"/>
  <c r="J15" i="14"/>
  <c r="J17" i="14"/>
  <c r="J18" i="14"/>
  <c r="J19" i="14"/>
  <c r="J21" i="14"/>
  <c r="J20" i="14"/>
  <c r="J22" i="14"/>
  <c r="J24" i="14"/>
  <c r="J23" i="14"/>
  <c r="J25" i="14"/>
  <c r="J27" i="14"/>
  <c r="J26" i="14"/>
  <c r="J28" i="14"/>
  <c r="J31" i="14"/>
  <c r="J29" i="14"/>
  <c r="J30" i="14"/>
  <c r="J32" i="14"/>
  <c r="J34" i="14"/>
  <c r="J33" i="14"/>
  <c r="J37" i="14"/>
  <c r="J36" i="14"/>
  <c r="J35" i="14"/>
  <c r="J39" i="14"/>
  <c r="J38" i="14"/>
  <c r="J40" i="14"/>
  <c r="J42" i="14"/>
  <c r="J41" i="14"/>
  <c r="J43" i="14"/>
  <c r="J44" i="14"/>
  <c r="J46" i="14"/>
  <c r="J45" i="14"/>
  <c r="J49" i="14"/>
  <c r="J48" i="14"/>
  <c r="J47" i="14"/>
  <c r="J51" i="14"/>
  <c r="J50" i="14"/>
  <c r="J52" i="14"/>
  <c r="J53" i="14"/>
  <c r="J54" i="14"/>
  <c r="J55" i="14"/>
  <c r="J56" i="14"/>
  <c r="J58" i="14"/>
  <c r="J57" i="14"/>
  <c r="J59" i="14"/>
  <c r="J60" i="14"/>
  <c r="J61" i="14"/>
  <c r="J64" i="14"/>
  <c r="J62" i="14"/>
  <c r="J63" i="14"/>
  <c r="J67" i="14"/>
  <c r="J65" i="14"/>
  <c r="J66" i="14"/>
  <c r="J69" i="14"/>
  <c r="J70" i="14"/>
  <c r="J68" i="14"/>
  <c r="J71" i="14"/>
  <c r="J72" i="14"/>
  <c r="J73" i="14"/>
  <c r="J74" i="14"/>
  <c r="J75" i="14"/>
  <c r="J76" i="14"/>
  <c r="J78" i="14"/>
  <c r="J77" i="14"/>
  <c r="J79" i="14"/>
  <c r="J82" i="14"/>
  <c r="J81" i="14"/>
  <c r="J80" i="14"/>
  <c r="J84" i="14"/>
  <c r="J83" i="14"/>
  <c r="J85" i="14"/>
  <c r="J87" i="14"/>
  <c r="J86" i="14"/>
  <c r="J88" i="14"/>
  <c r="J89" i="14"/>
  <c r="J90" i="14"/>
  <c r="J91" i="14"/>
  <c r="J94" i="14"/>
  <c r="J93" i="14"/>
  <c r="J92" i="14"/>
  <c r="J96" i="14"/>
  <c r="J95" i="14"/>
  <c r="J97" i="14"/>
  <c r="J99" i="14"/>
  <c r="J98" i="14"/>
  <c r="J100" i="14"/>
  <c r="J102" i="14"/>
  <c r="J101" i="14"/>
  <c r="J103" i="14"/>
  <c r="J106" i="14"/>
  <c r="J105" i="14"/>
  <c r="J104" i="14"/>
  <c r="J107" i="14"/>
  <c r="J108" i="14"/>
  <c r="J109" i="14"/>
  <c r="J111" i="14"/>
  <c r="J110" i="14"/>
  <c r="J112" i="14"/>
  <c r="J114" i="14"/>
  <c r="J113" i="14"/>
  <c r="J115" i="14"/>
  <c r="J118" i="14"/>
  <c r="J116" i="14"/>
  <c r="J117" i="14"/>
  <c r="J120" i="14"/>
  <c r="J119" i="14"/>
  <c r="J121" i="14"/>
  <c r="J123" i="14"/>
  <c r="J124" i="14"/>
  <c r="J122" i="14"/>
  <c r="J126" i="14"/>
  <c r="J125" i="14"/>
  <c r="J127" i="14"/>
  <c r="J130" i="14"/>
  <c r="J128" i="14"/>
  <c r="J129" i="14"/>
  <c r="J132" i="14"/>
  <c r="J131" i="14"/>
  <c r="J133" i="14"/>
  <c r="J134" i="14"/>
  <c r="J135" i="14"/>
  <c r="J136" i="14"/>
  <c r="J138" i="14"/>
  <c r="J137" i="14"/>
  <c r="J139" i="14"/>
  <c r="J142" i="14"/>
  <c r="J141" i="14"/>
  <c r="J140" i="14"/>
  <c r="J143" i="14"/>
  <c r="J144" i="14"/>
  <c r="J145" i="14"/>
  <c r="J146" i="14"/>
  <c r="J147" i="14"/>
  <c r="J148" i="14"/>
  <c r="J150" i="14"/>
  <c r="J149" i="14"/>
  <c r="J151" i="14"/>
  <c r="J152" i="14"/>
  <c r="J154" i="14"/>
  <c r="J153" i="14"/>
  <c r="J156" i="14"/>
  <c r="J155" i="14"/>
  <c r="J157" i="14"/>
  <c r="J160" i="14"/>
  <c r="J158" i="14"/>
  <c r="J159" i="14"/>
  <c r="J162" i="14"/>
  <c r="J161" i="14"/>
  <c r="J163" i="14"/>
  <c r="J165" i="14"/>
  <c r="J164" i="14"/>
  <c r="J166" i="14"/>
  <c r="J168" i="14"/>
  <c r="J167" i="14"/>
  <c r="J169" i="14"/>
  <c r="J172" i="14"/>
  <c r="J171" i="14"/>
  <c r="J170" i="14"/>
  <c r="J175" i="14"/>
  <c r="J173" i="14"/>
  <c r="J174" i="14"/>
  <c r="J177" i="14"/>
  <c r="J176" i="14"/>
  <c r="J178" i="14"/>
  <c r="J180" i="14"/>
  <c r="J179" i="14"/>
  <c r="J181" i="14"/>
  <c r="J184" i="14"/>
  <c r="J183" i="14"/>
  <c r="J182" i="14"/>
  <c r="J186" i="14"/>
  <c r="J185" i="14"/>
  <c r="J187" i="14"/>
  <c r="J188" i="14"/>
  <c r="J189" i="14"/>
  <c r="J190" i="14"/>
  <c r="J192" i="14"/>
  <c r="J191" i="14"/>
  <c r="J193" i="14"/>
  <c r="J195" i="14"/>
  <c r="J194" i="14"/>
  <c r="J196" i="14"/>
  <c r="J198" i="14"/>
  <c r="J197" i="14"/>
  <c r="J199" i="14"/>
  <c r="J202" i="14"/>
  <c r="J201" i="14"/>
  <c r="J200" i="14"/>
  <c r="J205" i="14"/>
  <c r="J203" i="14"/>
  <c r="J204" i="14"/>
  <c r="J208" i="14"/>
  <c r="J207" i="14"/>
  <c r="J206" i="14"/>
  <c r="J211" i="14"/>
  <c r="J210" i="14"/>
  <c r="J209" i="14"/>
  <c r="J214" i="14"/>
  <c r="J212" i="14"/>
  <c r="J213" i="14"/>
  <c r="J216" i="14"/>
  <c r="J215" i="14"/>
  <c r="J217" i="14"/>
  <c r="J219" i="14"/>
  <c r="J220" i="14"/>
  <c r="J218" i="14"/>
  <c r="J221" i="14"/>
  <c r="J222" i="14"/>
  <c r="J223" i="14"/>
  <c r="J226" i="14"/>
  <c r="J224" i="14"/>
  <c r="J225" i="14"/>
  <c r="J228" i="14"/>
  <c r="J229" i="14"/>
  <c r="J227" i="14"/>
  <c r="J230" i="14"/>
  <c r="J232" i="14"/>
  <c r="J231" i="14"/>
  <c r="J233" i="14"/>
  <c r="J235" i="14"/>
  <c r="J234" i="14"/>
  <c r="J236" i="14"/>
  <c r="J238" i="14"/>
  <c r="J237" i="14"/>
  <c r="J240" i="14"/>
  <c r="J239" i="14"/>
  <c r="J241" i="14"/>
  <c r="J244" i="14"/>
  <c r="J243" i="14"/>
  <c r="J242" i="14"/>
  <c r="J246" i="14"/>
  <c r="J245" i="14"/>
  <c r="J247" i="14"/>
  <c r="J248" i="14"/>
  <c r="J249" i="14"/>
  <c r="J250" i="14"/>
  <c r="J251" i="14"/>
  <c r="J253" i="14"/>
  <c r="J252" i="14"/>
  <c r="J255" i="14"/>
  <c r="J254" i="14"/>
  <c r="J256" i="14"/>
  <c r="J2" i="14"/>
  <c r="I2" i="14"/>
  <c r="I3" i="14"/>
  <c r="I4" i="14"/>
  <c r="I5" i="14"/>
  <c r="I6" i="14"/>
  <c r="I7" i="14"/>
  <c r="I8" i="14"/>
  <c r="I9" i="14"/>
  <c r="I10" i="14"/>
  <c r="I12" i="14"/>
  <c r="I11" i="14"/>
  <c r="I13" i="14"/>
  <c r="I14" i="14"/>
  <c r="I16" i="14"/>
  <c r="I15" i="14"/>
  <c r="I17" i="14"/>
  <c r="I18" i="14"/>
  <c r="I19" i="14"/>
  <c r="I21" i="14"/>
  <c r="I20" i="14"/>
  <c r="I22" i="14"/>
  <c r="I24" i="14"/>
  <c r="I23" i="14"/>
  <c r="I25" i="14"/>
  <c r="I27" i="14"/>
  <c r="I26" i="14"/>
  <c r="I28" i="14"/>
  <c r="I31" i="14"/>
  <c r="I29" i="14"/>
  <c r="I30" i="14"/>
  <c r="I32" i="14"/>
  <c r="I34" i="14"/>
  <c r="I33" i="14"/>
  <c r="I37" i="14"/>
  <c r="I36" i="14"/>
  <c r="I35" i="14"/>
  <c r="I39" i="14"/>
  <c r="I38" i="14"/>
  <c r="I40" i="14"/>
  <c r="I42" i="14"/>
  <c r="I41" i="14"/>
  <c r="I43" i="14"/>
  <c r="I44" i="14"/>
  <c r="I46" i="14"/>
  <c r="I45" i="14"/>
  <c r="I49" i="14"/>
  <c r="I48" i="14"/>
  <c r="I47" i="14"/>
  <c r="I51" i="14"/>
  <c r="I50" i="14"/>
  <c r="I52" i="14"/>
  <c r="I53" i="14"/>
  <c r="I54" i="14"/>
  <c r="I55" i="14"/>
  <c r="I56" i="14"/>
  <c r="I58" i="14"/>
  <c r="I57" i="14"/>
  <c r="I59" i="14"/>
  <c r="I60" i="14"/>
  <c r="I61" i="14"/>
  <c r="I64" i="14"/>
  <c r="I62" i="14"/>
  <c r="I63" i="14"/>
  <c r="I67" i="14"/>
  <c r="I65" i="14"/>
  <c r="I66" i="14"/>
  <c r="I69" i="14"/>
  <c r="I70" i="14"/>
  <c r="I68" i="14"/>
  <c r="I71" i="14"/>
  <c r="I72" i="14"/>
  <c r="I73" i="14"/>
  <c r="I74" i="14"/>
  <c r="I75" i="14"/>
  <c r="I76" i="14"/>
  <c r="I78" i="14"/>
  <c r="I77" i="14"/>
  <c r="I79" i="14"/>
  <c r="I82" i="14"/>
  <c r="I81" i="14"/>
  <c r="I80" i="14"/>
  <c r="I84" i="14"/>
  <c r="I83" i="14"/>
  <c r="I85" i="14"/>
  <c r="I87" i="14"/>
  <c r="I86" i="14"/>
  <c r="I88" i="14"/>
  <c r="I89" i="14"/>
  <c r="I90" i="14"/>
  <c r="I91" i="14"/>
  <c r="I94" i="14"/>
  <c r="I93" i="14"/>
  <c r="I92" i="14"/>
  <c r="I96" i="14"/>
  <c r="I95" i="14"/>
  <c r="I97" i="14"/>
  <c r="I99" i="14"/>
  <c r="I98" i="14"/>
  <c r="I100" i="14"/>
  <c r="I102" i="14"/>
  <c r="I101" i="14"/>
  <c r="I103" i="14"/>
  <c r="I106" i="14"/>
  <c r="I105" i="14"/>
  <c r="I104" i="14"/>
  <c r="I107" i="14"/>
  <c r="I108" i="14"/>
  <c r="I109" i="14"/>
  <c r="I111" i="14"/>
  <c r="I110" i="14"/>
  <c r="I112" i="14"/>
  <c r="I114" i="14"/>
  <c r="I113" i="14"/>
  <c r="I115" i="14"/>
  <c r="I118" i="14"/>
  <c r="I116" i="14"/>
  <c r="I117" i="14"/>
  <c r="I120" i="14"/>
  <c r="I119" i="14"/>
  <c r="I121" i="14"/>
  <c r="I123" i="14"/>
  <c r="I124" i="14"/>
  <c r="I122" i="14"/>
  <c r="I126" i="14"/>
  <c r="I125" i="14"/>
  <c r="I127" i="14"/>
  <c r="I130" i="14"/>
  <c r="I128" i="14"/>
  <c r="I129" i="14"/>
  <c r="I132" i="14"/>
  <c r="I131" i="14"/>
  <c r="I133" i="14"/>
  <c r="I134" i="14"/>
  <c r="I135" i="14"/>
  <c r="I136" i="14"/>
  <c r="I138" i="14"/>
  <c r="I137" i="14"/>
  <c r="I139" i="14"/>
  <c r="I142" i="14"/>
  <c r="I141" i="14"/>
  <c r="I140" i="14"/>
  <c r="I143" i="14"/>
  <c r="I144" i="14"/>
  <c r="I145" i="14"/>
  <c r="I146" i="14"/>
  <c r="I147" i="14"/>
  <c r="I148" i="14"/>
  <c r="I150" i="14"/>
  <c r="I149" i="14"/>
  <c r="I151" i="14"/>
  <c r="I152" i="14"/>
  <c r="I154" i="14"/>
  <c r="I153" i="14"/>
  <c r="I156" i="14"/>
  <c r="I155" i="14"/>
  <c r="I157" i="14"/>
  <c r="I160" i="14"/>
  <c r="I158" i="14"/>
  <c r="I159" i="14"/>
  <c r="I162" i="14"/>
  <c r="I161" i="14"/>
  <c r="I163" i="14"/>
  <c r="I165" i="14"/>
  <c r="I164" i="14"/>
  <c r="I166" i="14"/>
  <c r="I168" i="14"/>
  <c r="I167" i="14"/>
  <c r="I169" i="14"/>
  <c r="I172" i="14"/>
  <c r="I171" i="14"/>
  <c r="I170" i="14"/>
  <c r="I175" i="14"/>
  <c r="I173" i="14"/>
  <c r="I174" i="14"/>
  <c r="I177" i="14"/>
  <c r="I176" i="14"/>
  <c r="I178" i="14"/>
  <c r="I180" i="14"/>
  <c r="I179" i="14"/>
  <c r="I181" i="14"/>
  <c r="I184" i="14"/>
  <c r="I183" i="14"/>
  <c r="I182" i="14"/>
  <c r="I186" i="14"/>
  <c r="I185" i="14"/>
  <c r="I187" i="14"/>
  <c r="I188" i="14"/>
  <c r="I189" i="14"/>
  <c r="I190" i="14"/>
  <c r="I192" i="14"/>
  <c r="I191" i="14"/>
  <c r="I193" i="14"/>
  <c r="I195" i="14"/>
  <c r="I194" i="14"/>
  <c r="I196" i="14"/>
  <c r="I198" i="14"/>
  <c r="I197" i="14"/>
  <c r="I199" i="14"/>
  <c r="I202" i="14"/>
  <c r="I201" i="14"/>
  <c r="I200" i="14"/>
  <c r="I205" i="14"/>
  <c r="I203" i="14"/>
  <c r="I204" i="14"/>
  <c r="I208" i="14"/>
  <c r="I207" i="14"/>
  <c r="I206" i="14"/>
  <c r="I211" i="14"/>
  <c r="I210" i="14"/>
  <c r="I209" i="14"/>
  <c r="I214" i="14"/>
  <c r="I212" i="14"/>
  <c r="I213" i="14"/>
  <c r="I216" i="14"/>
  <c r="I215" i="14"/>
  <c r="I217" i="14"/>
  <c r="I219" i="14"/>
  <c r="I220" i="14"/>
  <c r="I218" i="14"/>
  <c r="I221" i="14"/>
  <c r="I222" i="14"/>
  <c r="I223" i="14"/>
  <c r="I226" i="14"/>
  <c r="I224" i="14"/>
  <c r="I225" i="14"/>
  <c r="I228" i="14"/>
  <c r="I229" i="14"/>
  <c r="I227" i="14"/>
  <c r="I230" i="14"/>
  <c r="I232" i="14"/>
  <c r="I231" i="14"/>
  <c r="I233" i="14"/>
  <c r="I235" i="14"/>
  <c r="I234" i="14"/>
  <c r="I236" i="14"/>
  <c r="I238" i="14"/>
  <c r="I237" i="14"/>
  <c r="I240" i="14"/>
  <c r="I239" i="14"/>
  <c r="I241" i="14"/>
  <c r="I244" i="14"/>
  <c r="I243" i="14"/>
  <c r="I242" i="14"/>
  <c r="I246" i="14"/>
  <c r="I245" i="14"/>
  <c r="I247" i="14"/>
  <c r="I248" i="14"/>
  <c r="I249" i="14"/>
  <c r="I250" i="14"/>
  <c r="I251" i="14"/>
  <c r="I253" i="14"/>
  <c r="I252" i="14"/>
  <c r="I255" i="14"/>
  <c r="I254" i="14"/>
  <c r="I256" i="14"/>
  <c r="H3" i="14"/>
  <c r="H4" i="14"/>
  <c r="H5" i="14"/>
  <c r="H6" i="14"/>
  <c r="H7" i="14"/>
  <c r="H8" i="14"/>
  <c r="H9" i="14"/>
  <c r="H10" i="14"/>
  <c r="H12" i="14"/>
  <c r="H11" i="14"/>
  <c r="H13" i="14"/>
  <c r="H14" i="14"/>
  <c r="H16" i="14"/>
  <c r="H15" i="14"/>
  <c r="H17" i="14"/>
  <c r="H18" i="14"/>
  <c r="H19" i="14"/>
  <c r="H21" i="14"/>
  <c r="H20" i="14"/>
  <c r="H22" i="14"/>
  <c r="H24" i="14"/>
  <c r="H23" i="14"/>
  <c r="H25" i="14"/>
  <c r="H27" i="14"/>
  <c r="H26" i="14"/>
  <c r="H28" i="14"/>
  <c r="H31" i="14"/>
  <c r="H29" i="14"/>
  <c r="H30" i="14"/>
  <c r="H32" i="14"/>
  <c r="H34" i="14"/>
  <c r="H33" i="14"/>
  <c r="H37" i="14"/>
  <c r="H36" i="14"/>
  <c r="H35" i="14"/>
  <c r="H39" i="14"/>
  <c r="H38" i="14"/>
  <c r="H40" i="14"/>
  <c r="H42" i="14"/>
  <c r="H41" i="14"/>
  <c r="H43" i="14"/>
  <c r="H44" i="14"/>
  <c r="H46" i="14"/>
  <c r="H45" i="14"/>
  <c r="H49" i="14"/>
  <c r="H48" i="14"/>
  <c r="H47" i="14"/>
  <c r="H51" i="14"/>
  <c r="H50" i="14"/>
  <c r="H52" i="14"/>
  <c r="H53" i="14"/>
  <c r="H54" i="14"/>
  <c r="H55" i="14"/>
  <c r="H56" i="14"/>
  <c r="H58" i="14"/>
  <c r="H57" i="14"/>
  <c r="H59" i="14"/>
  <c r="H60" i="14"/>
  <c r="H61" i="14"/>
  <c r="H64" i="14"/>
  <c r="H62" i="14"/>
  <c r="H63" i="14"/>
  <c r="H67" i="14"/>
  <c r="H65" i="14"/>
  <c r="H66" i="14"/>
  <c r="H69" i="14"/>
  <c r="H70" i="14"/>
  <c r="H68" i="14"/>
  <c r="H71" i="14"/>
  <c r="H72" i="14"/>
  <c r="H73" i="14"/>
  <c r="H74" i="14"/>
  <c r="H75" i="14"/>
  <c r="H76" i="14"/>
  <c r="H78" i="14"/>
  <c r="H77" i="14"/>
  <c r="H79" i="14"/>
  <c r="H82" i="14"/>
  <c r="H81" i="14"/>
  <c r="H80" i="14"/>
  <c r="H84" i="14"/>
  <c r="H83" i="14"/>
  <c r="H85" i="14"/>
  <c r="H87" i="14"/>
  <c r="H86" i="14"/>
  <c r="H88" i="14"/>
  <c r="H89" i="14"/>
  <c r="H90" i="14"/>
  <c r="H91" i="14"/>
  <c r="H94" i="14"/>
  <c r="H93" i="14"/>
  <c r="H92" i="14"/>
  <c r="H96" i="14"/>
  <c r="H95" i="14"/>
  <c r="H97" i="14"/>
  <c r="H99" i="14"/>
  <c r="H98" i="14"/>
  <c r="H100" i="14"/>
  <c r="H102" i="14"/>
  <c r="H101" i="14"/>
  <c r="H103" i="14"/>
  <c r="H106" i="14"/>
  <c r="H105" i="14"/>
  <c r="H104" i="14"/>
  <c r="H107" i="14"/>
  <c r="H108" i="14"/>
  <c r="H109" i="14"/>
  <c r="H111" i="14"/>
  <c r="H110" i="14"/>
  <c r="H112" i="14"/>
  <c r="H114" i="14"/>
  <c r="H113" i="14"/>
  <c r="H115" i="14"/>
  <c r="H118" i="14"/>
  <c r="H116" i="14"/>
  <c r="H117" i="14"/>
  <c r="H120" i="14"/>
  <c r="H119" i="14"/>
  <c r="H121" i="14"/>
  <c r="H123" i="14"/>
  <c r="H124" i="14"/>
  <c r="H122" i="14"/>
  <c r="H126" i="14"/>
  <c r="H125" i="14"/>
  <c r="H127" i="14"/>
  <c r="H130" i="14"/>
  <c r="H128" i="14"/>
  <c r="H129" i="14"/>
  <c r="H132" i="14"/>
  <c r="H131" i="14"/>
  <c r="H133" i="14"/>
  <c r="H134" i="14"/>
  <c r="H135" i="14"/>
  <c r="H136" i="14"/>
  <c r="H138" i="14"/>
  <c r="H137" i="14"/>
  <c r="H139" i="14"/>
  <c r="H142" i="14"/>
  <c r="H141" i="14"/>
  <c r="H140" i="14"/>
  <c r="H143" i="14"/>
  <c r="H144" i="14"/>
  <c r="H145" i="14"/>
  <c r="H146" i="14"/>
  <c r="H147" i="14"/>
  <c r="H148" i="14"/>
  <c r="H150" i="14"/>
  <c r="H149" i="14"/>
  <c r="H151" i="14"/>
  <c r="H152" i="14"/>
  <c r="H154" i="14"/>
  <c r="H153" i="14"/>
  <c r="H156" i="14"/>
  <c r="H155" i="14"/>
  <c r="H157" i="14"/>
  <c r="H160" i="14"/>
  <c r="H158" i="14"/>
  <c r="H159" i="14"/>
  <c r="H162" i="14"/>
  <c r="H161" i="14"/>
  <c r="H163" i="14"/>
  <c r="H165" i="14"/>
  <c r="H164" i="14"/>
  <c r="H166" i="14"/>
  <c r="H168" i="14"/>
  <c r="H167" i="14"/>
  <c r="H169" i="14"/>
  <c r="H172" i="14"/>
  <c r="H171" i="14"/>
  <c r="H170" i="14"/>
  <c r="H175" i="14"/>
  <c r="H173" i="14"/>
  <c r="H174" i="14"/>
  <c r="H177" i="14"/>
  <c r="H176" i="14"/>
  <c r="H178" i="14"/>
  <c r="H180" i="14"/>
  <c r="H179" i="14"/>
  <c r="H181" i="14"/>
  <c r="H184" i="14"/>
  <c r="H183" i="14"/>
  <c r="H182" i="14"/>
  <c r="H186" i="14"/>
  <c r="H185" i="14"/>
  <c r="H187" i="14"/>
  <c r="H188" i="14"/>
  <c r="H189" i="14"/>
  <c r="H190" i="14"/>
  <c r="H192" i="14"/>
  <c r="H191" i="14"/>
  <c r="H193" i="14"/>
  <c r="H195" i="14"/>
  <c r="H194" i="14"/>
  <c r="H196" i="14"/>
  <c r="H198" i="14"/>
  <c r="H197" i="14"/>
  <c r="H199" i="14"/>
  <c r="H202" i="14"/>
  <c r="H201" i="14"/>
  <c r="H200" i="14"/>
  <c r="H205" i="14"/>
  <c r="H203" i="14"/>
  <c r="H204" i="14"/>
  <c r="H208" i="14"/>
  <c r="H207" i="14"/>
  <c r="H206" i="14"/>
  <c r="H211" i="14"/>
  <c r="H210" i="14"/>
  <c r="H209" i="14"/>
  <c r="H214" i="14"/>
  <c r="H212" i="14"/>
  <c r="H213" i="14"/>
  <c r="H216" i="14"/>
  <c r="H215" i="14"/>
  <c r="H217" i="14"/>
  <c r="H219" i="14"/>
  <c r="H220" i="14"/>
  <c r="H218" i="14"/>
  <c r="H221" i="14"/>
  <c r="H222" i="14"/>
  <c r="H223" i="14"/>
  <c r="H226" i="14"/>
  <c r="H224" i="14"/>
  <c r="H225" i="14"/>
  <c r="H228" i="14"/>
  <c r="H229" i="14"/>
  <c r="H227" i="14"/>
  <c r="H230" i="14"/>
  <c r="H232" i="14"/>
  <c r="H231" i="14"/>
  <c r="H233" i="14"/>
  <c r="H235" i="14"/>
  <c r="H234" i="14"/>
  <c r="H236" i="14"/>
  <c r="H238" i="14"/>
  <c r="H237" i="14"/>
  <c r="H240" i="14"/>
  <c r="H239" i="14"/>
  <c r="H241" i="14"/>
  <c r="H244" i="14"/>
  <c r="H243" i="14"/>
  <c r="H242" i="14"/>
  <c r="H246" i="14"/>
  <c r="H245" i="14"/>
  <c r="H247" i="14"/>
  <c r="H248" i="14"/>
  <c r="H249" i="14"/>
  <c r="H250" i="14"/>
  <c r="H251" i="14"/>
  <c r="H253" i="14"/>
  <c r="H252" i="14"/>
  <c r="H255" i="14"/>
  <c r="H254" i="14"/>
  <c r="H256" i="14"/>
  <c r="H2" i="14"/>
  <c r="BG295" i="13" l="1"/>
  <c r="BH295" i="13" s="1"/>
  <c r="BG292" i="13"/>
  <c r="BH292" i="13" s="1"/>
  <c r="BG283" i="13"/>
  <c r="BH283" i="13" s="1"/>
  <c r="BG280" i="13"/>
  <c r="BH280" i="13" s="1"/>
  <c r="BG271" i="13"/>
  <c r="BH271" i="13" s="1"/>
  <c r="BG268" i="13"/>
  <c r="BH268" i="13" s="1"/>
  <c r="BG259" i="13"/>
  <c r="BH259" i="13" s="1"/>
  <c r="BG256" i="13"/>
  <c r="BH256" i="13" s="1"/>
  <c r="BG247" i="13"/>
  <c r="BH247" i="13" s="1"/>
  <c r="BG244" i="13"/>
  <c r="BH244" i="13" s="1"/>
  <c r="BG241" i="13"/>
  <c r="BH241" i="13" s="1"/>
  <c r="BG235" i="13"/>
  <c r="BH235" i="13" s="1"/>
  <c r="BG232" i="13"/>
  <c r="BH232" i="13" s="1"/>
  <c r="BG223" i="13"/>
  <c r="BH223" i="13" s="1"/>
  <c r="BG220" i="13"/>
  <c r="BH220" i="13" s="1"/>
  <c r="BG211" i="13"/>
  <c r="BH211" i="13" s="1"/>
  <c r="BG208" i="13"/>
  <c r="BH208" i="13" s="1"/>
  <c r="BG199" i="13"/>
  <c r="BH199" i="13" s="1"/>
  <c r="BG196" i="13"/>
  <c r="BH196" i="13" s="1"/>
  <c r="BG187" i="13"/>
  <c r="BH187" i="13" s="1"/>
  <c r="BG184" i="13"/>
  <c r="BH184" i="13" s="1"/>
  <c r="BG175" i="13"/>
  <c r="BH175" i="13" s="1"/>
  <c r="BG172" i="13"/>
  <c r="BH172" i="13" s="1"/>
  <c r="BG163" i="13"/>
  <c r="BH163" i="13" s="1"/>
  <c r="BG160" i="13"/>
  <c r="BH160" i="13" s="1"/>
  <c r="BG151" i="13"/>
  <c r="BH151" i="13" s="1"/>
  <c r="BG148" i="13"/>
  <c r="BH148" i="13" s="1"/>
  <c r="BG139" i="13"/>
  <c r="BH139" i="13" s="1"/>
  <c r="BG136" i="13"/>
  <c r="BH136" i="13" s="1"/>
  <c r="BG127" i="13"/>
  <c r="BH127" i="13" s="1"/>
  <c r="BG124" i="13"/>
  <c r="BH124" i="13" s="1"/>
  <c r="BG115" i="13"/>
  <c r="BH115" i="13" s="1"/>
  <c r="BG112" i="13"/>
  <c r="BH112" i="13" s="1"/>
  <c r="BG103" i="13"/>
  <c r="BH103" i="13" s="1"/>
  <c r="BG100" i="13"/>
  <c r="BH100" i="13" s="1"/>
  <c r="BG91" i="13"/>
  <c r="BH91" i="13" s="1"/>
  <c r="BG88" i="13"/>
  <c r="BH88" i="13" s="1"/>
  <c r="BG79" i="13"/>
  <c r="BH79" i="13" s="1"/>
  <c r="BG76" i="13"/>
  <c r="BH76" i="13" s="1"/>
  <c r="BG67" i="13"/>
  <c r="BH67" i="13" s="1"/>
  <c r="BG64" i="13"/>
  <c r="BH64" i="13" s="1"/>
  <c r="BG55" i="13"/>
  <c r="BH55" i="13" s="1"/>
  <c r="BG52" i="13"/>
  <c r="BH52" i="13" s="1"/>
  <c r="BG43" i="13"/>
  <c r="BH43" i="13" s="1"/>
  <c r="BG40" i="13"/>
  <c r="BH40" i="13" s="1"/>
  <c r="BG31" i="13"/>
  <c r="BH31" i="13" s="1"/>
  <c r="BG28" i="13"/>
  <c r="BH28" i="13" s="1"/>
  <c r="BG19" i="13"/>
  <c r="BH19" i="13" s="1"/>
  <c r="BG16" i="13"/>
  <c r="BH16" i="13" s="1"/>
  <c r="BG7" i="13"/>
  <c r="BH7" i="13" s="1"/>
  <c r="BG4" i="13"/>
  <c r="BH4" i="13" s="1"/>
  <c r="AZ2" i="13"/>
  <c r="BG2" i="13" s="1"/>
  <c r="BH2" i="13" s="1"/>
  <c r="BB3" i="13"/>
  <c r="BB4" i="13"/>
  <c r="BG10" i="13" s="1"/>
  <c r="BH10" i="13" s="1"/>
  <c r="BB5" i="13"/>
  <c r="BG13" i="13" s="1"/>
  <c r="BH13" i="13" s="1"/>
  <c r="BB6" i="13"/>
  <c r="BB7" i="13"/>
  <c r="BB8" i="13"/>
  <c r="BG22" i="13" s="1"/>
  <c r="BH22" i="13" s="1"/>
  <c r="BB9" i="13"/>
  <c r="BG25" i="13" s="1"/>
  <c r="BH25" i="13" s="1"/>
  <c r="BB10" i="13"/>
  <c r="BB11" i="13"/>
  <c r="BB12" i="13"/>
  <c r="BG34" i="13" s="1"/>
  <c r="BH34" i="13" s="1"/>
  <c r="BB13" i="13"/>
  <c r="BG37" i="13" s="1"/>
  <c r="BH37" i="13" s="1"/>
  <c r="BB14" i="13"/>
  <c r="BB15" i="13"/>
  <c r="BB16" i="13"/>
  <c r="BG46" i="13" s="1"/>
  <c r="BH46" i="13" s="1"/>
  <c r="BB17" i="13"/>
  <c r="BG49" i="13" s="1"/>
  <c r="BH49" i="13" s="1"/>
  <c r="BB18" i="13"/>
  <c r="BB19" i="13"/>
  <c r="BB20" i="13"/>
  <c r="BG58" i="13" s="1"/>
  <c r="BH58" i="13" s="1"/>
  <c r="BB21" i="13"/>
  <c r="BG61" i="13" s="1"/>
  <c r="BH61" i="13" s="1"/>
  <c r="BB22" i="13"/>
  <c r="BB23" i="13"/>
  <c r="BB24" i="13"/>
  <c r="BG70" i="13" s="1"/>
  <c r="BH70" i="13" s="1"/>
  <c r="BB25" i="13"/>
  <c r="BG73" i="13" s="1"/>
  <c r="BH73" i="13" s="1"/>
  <c r="BB26" i="13"/>
  <c r="BB27" i="13"/>
  <c r="BB28" i="13"/>
  <c r="BG82" i="13" s="1"/>
  <c r="BH82" i="13" s="1"/>
  <c r="BB29" i="13"/>
  <c r="BG85" i="13" s="1"/>
  <c r="BH85" i="13" s="1"/>
  <c r="BB30" i="13"/>
  <c r="BB31" i="13"/>
  <c r="BB32" i="13"/>
  <c r="BG94" i="13" s="1"/>
  <c r="BH94" i="13" s="1"/>
  <c r="BB33" i="13"/>
  <c r="BG97" i="13" s="1"/>
  <c r="BH97" i="13" s="1"/>
  <c r="BB34" i="13"/>
  <c r="BB35" i="13"/>
  <c r="BB36" i="13"/>
  <c r="BG106" i="13" s="1"/>
  <c r="BH106" i="13" s="1"/>
  <c r="BB37" i="13"/>
  <c r="BG109" i="13" s="1"/>
  <c r="BH109" i="13" s="1"/>
  <c r="BB38" i="13"/>
  <c r="BB39" i="13"/>
  <c r="BB40" i="13"/>
  <c r="BG118" i="13" s="1"/>
  <c r="BH118" i="13" s="1"/>
  <c r="BB41" i="13"/>
  <c r="BG121" i="13" s="1"/>
  <c r="BH121" i="13" s="1"/>
  <c r="BB42" i="13"/>
  <c r="BB43" i="13"/>
  <c r="BB44" i="13"/>
  <c r="BG130" i="13" s="1"/>
  <c r="BH130" i="13" s="1"/>
  <c r="BB45" i="13"/>
  <c r="BG133" i="13" s="1"/>
  <c r="BH133" i="13" s="1"/>
  <c r="BB46" i="13"/>
  <c r="BB47" i="13"/>
  <c r="BB48" i="13"/>
  <c r="BG142" i="13" s="1"/>
  <c r="BH142" i="13" s="1"/>
  <c r="BB49" i="13"/>
  <c r="BG145" i="13" s="1"/>
  <c r="BH145" i="13" s="1"/>
  <c r="BB50" i="13"/>
  <c r="BB51" i="13"/>
  <c r="BB52" i="13"/>
  <c r="BG154" i="13" s="1"/>
  <c r="BH154" i="13" s="1"/>
  <c r="BB53" i="13"/>
  <c r="BG157" i="13" s="1"/>
  <c r="BH157" i="13" s="1"/>
  <c r="BB54" i="13"/>
  <c r="BB55" i="13"/>
  <c r="BB56" i="13"/>
  <c r="BG166" i="13" s="1"/>
  <c r="BH166" i="13" s="1"/>
  <c r="BB57" i="13"/>
  <c r="BG169" i="13" s="1"/>
  <c r="BH169" i="13" s="1"/>
  <c r="BB58" i="13"/>
  <c r="BB59" i="13"/>
  <c r="BB60" i="13"/>
  <c r="BG178" i="13" s="1"/>
  <c r="BH178" i="13" s="1"/>
  <c r="BB61" i="13"/>
  <c r="BG181" i="13" s="1"/>
  <c r="BH181" i="13" s="1"/>
  <c r="BB62" i="13"/>
  <c r="BB63" i="13"/>
  <c r="BB64" i="13"/>
  <c r="BG190" i="13" s="1"/>
  <c r="BH190" i="13" s="1"/>
  <c r="BB65" i="13"/>
  <c r="BG193" i="13" s="1"/>
  <c r="BH193" i="13" s="1"/>
  <c r="BB66" i="13"/>
  <c r="BB67" i="13"/>
  <c r="BB68" i="13"/>
  <c r="BG202" i="13" s="1"/>
  <c r="BH202" i="13" s="1"/>
  <c r="BB69" i="13"/>
  <c r="BG205" i="13" s="1"/>
  <c r="BH205" i="13" s="1"/>
  <c r="BB70" i="13"/>
  <c r="BB71" i="13"/>
  <c r="BB72" i="13"/>
  <c r="BG214" i="13" s="1"/>
  <c r="BH214" i="13" s="1"/>
  <c r="BB73" i="13"/>
  <c r="BG217" i="13" s="1"/>
  <c r="BH217" i="13" s="1"/>
  <c r="BB74" i="13"/>
  <c r="BB75" i="13"/>
  <c r="BB76" i="13"/>
  <c r="BG226" i="13" s="1"/>
  <c r="BH226" i="13" s="1"/>
  <c r="BB77" i="13"/>
  <c r="BG229" i="13" s="1"/>
  <c r="BH229" i="13" s="1"/>
  <c r="BB78" i="13"/>
  <c r="BB79" i="13"/>
  <c r="BB80" i="13"/>
  <c r="BG238" i="13" s="1"/>
  <c r="BH238" i="13" s="1"/>
  <c r="BB81" i="13"/>
  <c r="BB82" i="13"/>
  <c r="BB83" i="13"/>
  <c r="BB84" i="13"/>
  <c r="BG250" i="13" s="1"/>
  <c r="BH250" i="13" s="1"/>
  <c r="BB85" i="13"/>
  <c r="BG253" i="13" s="1"/>
  <c r="BH253" i="13" s="1"/>
  <c r="BB86" i="13"/>
  <c r="BB87" i="13"/>
  <c r="BB88" i="13"/>
  <c r="BG262" i="13" s="1"/>
  <c r="BH262" i="13" s="1"/>
  <c r="BB89" i="13"/>
  <c r="BG265" i="13" s="1"/>
  <c r="BH265" i="13" s="1"/>
  <c r="BB90" i="13"/>
  <c r="BB91" i="13"/>
  <c r="BB92" i="13"/>
  <c r="BG274" i="13" s="1"/>
  <c r="BH274" i="13" s="1"/>
  <c r="BB93" i="13"/>
  <c r="BG277" i="13" s="1"/>
  <c r="BH277" i="13" s="1"/>
  <c r="BB94" i="13"/>
  <c r="BB95" i="13"/>
  <c r="BB96" i="13"/>
  <c r="BG286" i="13" s="1"/>
  <c r="BH286" i="13" s="1"/>
  <c r="BB97" i="13"/>
  <c r="BG289" i="13" s="1"/>
  <c r="BH289" i="13" s="1"/>
  <c r="BB98" i="13"/>
  <c r="BB99" i="13"/>
  <c r="BB100" i="13"/>
  <c r="BG298" i="13" s="1"/>
  <c r="BH298" i="13" s="1"/>
  <c r="BB101" i="13"/>
  <c r="BG301" i="13" s="1"/>
  <c r="BH301" i="13" s="1"/>
  <c r="BB102" i="13"/>
  <c r="BG304" i="13" s="1"/>
  <c r="BH304" i="13" s="1"/>
  <c r="BB103" i="13"/>
  <c r="BG307" i="13" s="1"/>
  <c r="BH307" i="13" s="1"/>
  <c r="BB104" i="13"/>
  <c r="BG310" i="13" s="1"/>
  <c r="BH310" i="13" s="1"/>
  <c r="BB105" i="13"/>
  <c r="BG313" i="13" s="1"/>
  <c r="BH313" i="13" s="1"/>
  <c r="BB106" i="13"/>
  <c r="BG316" i="13" s="1"/>
  <c r="BH316" i="13" s="1"/>
  <c r="BB107" i="13"/>
  <c r="BG319" i="13" s="1"/>
  <c r="BH319" i="13" s="1"/>
  <c r="BB108" i="13"/>
  <c r="BG322" i="13" s="1"/>
  <c r="BH322" i="13" s="1"/>
  <c r="BB109" i="13"/>
  <c r="BG325" i="13" s="1"/>
  <c r="BH325" i="13" s="1"/>
  <c r="BB110" i="13"/>
  <c r="BG328" i="13" s="1"/>
  <c r="BH328" i="13" s="1"/>
  <c r="BB111" i="13"/>
  <c r="BG331" i="13" s="1"/>
  <c r="BH331" i="13" s="1"/>
  <c r="BB112" i="13"/>
  <c r="BG334" i="13" s="1"/>
  <c r="BH334" i="13" s="1"/>
  <c r="BB113" i="13"/>
  <c r="BG337" i="13" s="1"/>
  <c r="BH337" i="13" s="1"/>
  <c r="BB114" i="13"/>
  <c r="BG340" i="13" s="1"/>
  <c r="BH340" i="13" s="1"/>
  <c r="BB115" i="13"/>
  <c r="BG343" i="13" s="1"/>
  <c r="BH343" i="13" s="1"/>
  <c r="BB116" i="13"/>
  <c r="BG346" i="13" s="1"/>
  <c r="BH346" i="13" s="1"/>
  <c r="BB117" i="13"/>
  <c r="BG349" i="13" s="1"/>
  <c r="BH349" i="13" s="1"/>
  <c r="BB118" i="13"/>
  <c r="BG352" i="13" s="1"/>
  <c r="BH352" i="13" s="1"/>
  <c r="BB119" i="13"/>
  <c r="BG355" i="13" s="1"/>
  <c r="BH355" i="13" s="1"/>
  <c r="BB120" i="13"/>
  <c r="BG358" i="13" s="1"/>
  <c r="BH358" i="13" s="1"/>
  <c r="BB121" i="13"/>
  <c r="BG361" i="13" s="1"/>
  <c r="BH361" i="13" s="1"/>
  <c r="BB122" i="13"/>
  <c r="BG364" i="13" s="1"/>
  <c r="BH364" i="13" s="1"/>
  <c r="BB123" i="13"/>
  <c r="BG367" i="13" s="1"/>
  <c r="BH367" i="13" s="1"/>
  <c r="BB124" i="13"/>
  <c r="BG370" i="13" s="1"/>
  <c r="BH370" i="13" s="1"/>
  <c r="BB125" i="13"/>
  <c r="BG373" i="13" s="1"/>
  <c r="BH373" i="13" s="1"/>
  <c r="BB126" i="13"/>
  <c r="BG376" i="13" s="1"/>
  <c r="BH376" i="13" s="1"/>
  <c r="BB127" i="13"/>
  <c r="BG379" i="13" s="1"/>
  <c r="BH379" i="13" s="1"/>
  <c r="BB128" i="13"/>
  <c r="BG382" i="13" s="1"/>
  <c r="BH382" i="13" s="1"/>
  <c r="BB129" i="13"/>
  <c r="BG385" i="13" s="1"/>
  <c r="BH385" i="13" s="1"/>
  <c r="BB130" i="13"/>
  <c r="BG388" i="13" s="1"/>
  <c r="BH388" i="13" s="1"/>
  <c r="BB131" i="13"/>
  <c r="BG391" i="13" s="1"/>
  <c r="BH391" i="13" s="1"/>
  <c r="BB132" i="13"/>
  <c r="BG394" i="13" s="1"/>
  <c r="BH394" i="13" s="1"/>
  <c r="BB133" i="13"/>
  <c r="BG397" i="13" s="1"/>
  <c r="BH397" i="13" s="1"/>
  <c r="BB134" i="13"/>
  <c r="BG400" i="13" s="1"/>
  <c r="BH400" i="13" s="1"/>
  <c r="BB135" i="13"/>
  <c r="BG403" i="13" s="1"/>
  <c r="BH403" i="13" s="1"/>
  <c r="BB136" i="13"/>
  <c r="BG406" i="13" s="1"/>
  <c r="BH406" i="13" s="1"/>
  <c r="BB2" i="13"/>
  <c r="AV140" i="13"/>
  <c r="AV139" i="13"/>
  <c r="AV138" i="13"/>
  <c r="AR140" i="13"/>
  <c r="AR139" i="13"/>
  <c r="AR138" i="13"/>
  <c r="AN140" i="13"/>
  <c r="AN139" i="13"/>
  <c r="AN138" i="13"/>
  <c r="AJ139" i="13"/>
  <c r="AJ138" i="13"/>
  <c r="AJ140" i="13" s="1"/>
  <c r="BA3" i="13"/>
  <c r="BG6" i="13" s="1"/>
  <c r="BH6" i="13" s="1"/>
  <c r="BA4" i="13"/>
  <c r="BG9" i="13" s="1"/>
  <c r="BH9" i="13" s="1"/>
  <c r="BA5" i="13"/>
  <c r="BG12" i="13" s="1"/>
  <c r="BH12" i="13" s="1"/>
  <c r="BA6" i="13"/>
  <c r="BG15" i="13" s="1"/>
  <c r="BH15" i="13" s="1"/>
  <c r="BA7" i="13"/>
  <c r="BG18" i="13" s="1"/>
  <c r="BH18" i="13" s="1"/>
  <c r="BA8" i="13"/>
  <c r="BG21" i="13" s="1"/>
  <c r="BH21" i="13" s="1"/>
  <c r="BA9" i="13"/>
  <c r="BG24" i="13" s="1"/>
  <c r="BH24" i="13" s="1"/>
  <c r="BA10" i="13"/>
  <c r="BG27" i="13" s="1"/>
  <c r="BH27" i="13" s="1"/>
  <c r="BA11" i="13"/>
  <c r="BG30" i="13" s="1"/>
  <c r="BH30" i="13" s="1"/>
  <c r="BA12" i="13"/>
  <c r="BG33" i="13" s="1"/>
  <c r="BH33" i="13" s="1"/>
  <c r="BA13" i="13"/>
  <c r="BG36" i="13" s="1"/>
  <c r="BH36" i="13" s="1"/>
  <c r="BA14" i="13"/>
  <c r="BG39" i="13" s="1"/>
  <c r="BH39" i="13" s="1"/>
  <c r="BA15" i="13"/>
  <c r="BG42" i="13" s="1"/>
  <c r="BH42" i="13" s="1"/>
  <c r="BA16" i="13"/>
  <c r="BG45" i="13" s="1"/>
  <c r="BH45" i="13" s="1"/>
  <c r="BA17" i="13"/>
  <c r="BG48" i="13" s="1"/>
  <c r="BH48" i="13" s="1"/>
  <c r="BA18" i="13"/>
  <c r="BG51" i="13" s="1"/>
  <c r="BH51" i="13" s="1"/>
  <c r="BA19" i="13"/>
  <c r="BG54" i="13" s="1"/>
  <c r="BH54" i="13" s="1"/>
  <c r="BA20" i="13"/>
  <c r="BG57" i="13" s="1"/>
  <c r="BH57" i="13" s="1"/>
  <c r="BA21" i="13"/>
  <c r="BG60" i="13" s="1"/>
  <c r="BH60" i="13" s="1"/>
  <c r="BA22" i="13"/>
  <c r="BG63" i="13" s="1"/>
  <c r="BH63" i="13" s="1"/>
  <c r="BA23" i="13"/>
  <c r="BG66" i="13" s="1"/>
  <c r="BH66" i="13" s="1"/>
  <c r="BA24" i="13"/>
  <c r="BG69" i="13" s="1"/>
  <c r="BH69" i="13" s="1"/>
  <c r="BA25" i="13"/>
  <c r="BG72" i="13" s="1"/>
  <c r="BH72" i="13" s="1"/>
  <c r="BA26" i="13"/>
  <c r="BG75" i="13" s="1"/>
  <c r="BH75" i="13" s="1"/>
  <c r="BA27" i="13"/>
  <c r="BG78" i="13" s="1"/>
  <c r="BH78" i="13" s="1"/>
  <c r="BA28" i="13"/>
  <c r="BG81" i="13" s="1"/>
  <c r="BH81" i="13" s="1"/>
  <c r="BA29" i="13"/>
  <c r="BG84" i="13" s="1"/>
  <c r="BH84" i="13" s="1"/>
  <c r="BA30" i="13"/>
  <c r="BG87" i="13" s="1"/>
  <c r="BH87" i="13" s="1"/>
  <c r="BA31" i="13"/>
  <c r="BG90" i="13" s="1"/>
  <c r="BH90" i="13" s="1"/>
  <c r="BA32" i="13"/>
  <c r="BG93" i="13" s="1"/>
  <c r="BH93" i="13" s="1"/>
  <c r="BA33" i="13"/>
  <c r="BG96" i="13" s="1"/>
  <c r="BH96" i="13" s="1"/>
  <c r="BA34" i="13"/>
  <c r="BG99" i="13" s="1"/>
  <c r="BH99" i="13" s="1"/>
  <c r="BA35" i="13"/>
  <c r="BG102" i="13" s="1"/>
  <c r="BH102" i="13" s="1"/>
  <c r="BA36" i="13"/>
  <c r="BG105" i="13" s="1"/>
  <c r="BH105" i="13" s="1"/>
  <c r="BA37" i="13"/>
  <c r="BG108" i="13" s="1"/>
  <c r="BH108" i="13" s="1"/>
  <c r="BA38" i="13"/>
  <c r="BG111" i="13" s="1"/>
  <c r="BH111" i="13" s="1"/>
  <c r="BA39" i="13"/>
  <c r="BG114" i="13" s="1"/>
  <c r="BH114" i="13" s="1"/>
  <c r="BA40" i="13"/>
  <c r="BG117" i="13" s="1"/>
  <c r="BH117" i="13" s="1"/>
  <c r="BA41" i="13"/>
  <c r="BG120" i="13" s="1"/>
  <c r="BH120" i="13" s="1"/>
  <c r="BA42" i="13"/>
  <c r="BG123" i="13" s="1"/>
  <c r="BH123" i="13" s="1"/>
  <c r="BA43" i="13"/>
  <c r="BG126" i="13" s="1"/>
  <c r="BH126" i="13" s="1"/>
  <c r="BA44" i="13"/>
  <c r="BG129" i="13" s="1"/>
  <c r="BH129" i="13" s="1"/>
  <c r="BA45" i="13"/>
  <c r="BG132" i="13" s="1"/>
  <c r="BH132" i="13" s="1"/>
  <c r="BA46" i="13"/>
  <c r="BG135" i="13" s="1"/>
  <c r="BH135" i="13" s="1"/>
  <c r="BA47" i="13"/>
  <c r="BG138" i="13" s="1"/>
  <c r="BH138" i="13" s="1"/>
  <c r="BA48" i="13"/>
  <c r="BG141" i="13" s="1"/>
  <c r="BH141" i="13" s="1"/>
  <c r="BA49" i="13"/>
  <c r="BG144" i="13" s="1"/>
  <c r="BH144" i="13" s="1"/>
  <c r="BA50" i="13"/>
  <c r="BG147" i="13" s="1"/>
  <c r="BH147" i="13" s="1"/>
  <c r="BA51" i="13"/>
  <c r="BG150" i="13" s="1"/>
  <c r="BH150" i="13" s="1"/>
  <c r="BA52" i="13"/>
  <c r="BG153" i="13" s="1"/>
  <c r="BH153" i="13" s="1"/>
  <c r="BA53" i="13"/>
  <c r="BG156" i="13" s="1"/>
  <c r="BH156" i="13" s="1"/>
  <c r="BA54" i="13"/>
  <c r="BG159" i="13" s="1"/>
  <c r="BH159" i="13" s="1"/>
  <c r="BA55" i="13"/>
  <c r="BG162" i="13" s="1"/>
  <c r="BH162" i="13" s="1"/>
  <c r="BA56" i="13"/>
  <c r="BG165" i="13" s="1"/>
  <c r="BH165" i="13" s="1"/>
  <c r="BA57" i="13"/>
  <c r="BG168" i="13" s="1"/>
  <c r="BH168" i="13" s="1"/>
  <c r="BA58" i="13"/>
  <c r="BG171" i="13" s="1"/>
  <c r="BH171" i="13" s="1"/>
  <c r="BA59" i="13"/>
  <c r="BG174" i="13" s="1"/>
  <c r="BH174" i="13" s="1"/>
  <c r="BA60" i="13"/>
  <c r="BG177" i="13" s="1"/>
  <c r="BH177" i="13" s="1"/>
  <c r="BA61" i="13"/>
  <c r="BG180" i="13" s="1"/>
  <c r="BH180" i="13" s="1"/>
  <c r="BA62" i="13"/>
  <c r="BG183" i="13" s="1"/>
  <c r="BH183" i="13" s="1"/>
  <c r="BA63" i="13"/>
  <c r="BG186" i="13" s="1"/>
  <c r="BH186" i="13" s="1"/>
  <c r="BA64" i="13"/>
  <c r="BG189" i="13" s="1"/>
  <c r="BH189" i="13" s="1"/>
  <c r="BA65" i="13"/>
  <c r="BG192" i="13" s="1"/>
  <c r="BH192" i="13" s="1"/>
  <c r="BA66" i="13"/>
  <c r="BG195" i="13" s="1"/>
  <c r="BH195" i="13" s="1"/>
  <c r="BA67" i="13"/>
  <c r="BG198" i="13" s="1"/>
  <c r="BH198" i="13" s="1"/>
  <c r="BA68" i="13"/>
  <c r="BG201" i="13" s="1"/>
  <c r="BH201" i="13" s="1"/>
  <c r="BA69" i="13"/>
  <c r="BG204" i="13" s="1"/>
  <c r="BH204" i="13" s="1"/>
  <c r="BA70" i="13"/>
  <c r="BG207" i="13" s="1"/>
  <c r="BH207" i="13" s="1"/>
  <c r="BA71" i="13"/>
  <c r="BG210" i="13" s="1"/>
  <c r="BH210" i="13" s="1"/>
  <c r="BA72" i="13"/>
  <c r="BG213" i="13" s="1"/>
  <c r="BH213" i="13" s="1"/>
  <c r="BA73" i="13"/>
  <c r="BG216" i="13" s="1"/>
  <c r="BH216" i="13" s="1"/>
  <c r="BA74" i="13"/>
  <c r="BG219" i="13" s="1"/>
  <c r="BH219" i="13" s="1"/>
  <c r="BA75" i="13"/>
  <c r="BG222" i="13" s="1"/>
  <c r="BH222" i="13" s="1"/>
  <c r="BA76" i="13"/>
  <c r="BG225" i="13" s="1"/>
  <c r="BH225" i="13" s="1"/>
  <c r="BA77" i="13"/>
  <c r="BG228" i="13" s="1"/>
  <c r="BH228" i="13" s="1"/>
  <c r="BA78" i="13"/>
  <c r="BG231" i="13" s="1"/>
  <c r="BH231" i="13" s="1"/>
  <c r="BA79" i="13"/>
  <c r="BG234" i="13" s="1"/>
  <c r="BH234" i="13" s="1"/>
  <c r="BA80" i="13"/>
  <c r="BG237" i="13" s="1"/>
  <c r="BH237" i="13" s="1"/>
  <c r="BA81" i="13"/>
  <c r="BG240" i="13" s="1"/>
  <c r="BH240" i="13" s="1"/>
  <c r="BA82" i="13"/>
  <c r="BG243" i="13" s="1"/>
  <c r="BH243" i="13" s="1"/>
  <c r="BA83" i="13"/>
  <c r="BG246" i="13" s="1"/>
  <c r="BH246" i="13" s="1"/>
  <c r="BA84" i="13"/>
  <c r="BG249" i="13" s="1"/>
  <c r="BH249" i="13" s="1"/>
  <c r="BA85" i="13"/>
  <c r="BG252" i="13" s="1"/>
  <c r="BH252" i="13" s="1"/>
  <c r="BA86" i="13"/>
  <c r="BG255" i="13" s="1"/>
  <c r="BH255" i="13" s="1"/>
  <c r="BA87" i="13"/>
  <c r="BG258" i="13" s="1"/>
  <c r="BH258" i="13" s="1"/>
  <c r="BA88" i="13"/>
  <c r="BG261" i="13" s="1"/>
  <c r="BH261" i="13" s="1"/>
  <c r="BA89" i="13"/>
  <c r="BG264" i="13" s="1"/>
  <c r="BH264" i="13" s="1"/>
  <c r="BA90" i="13"/>
  <c r="BG267" i="13" s="1"/>
  <c r="BH267" i="13" s="1"/>
  <c r="BA91" i="13"/>
  <c r="BG270" i="13" s="1"/>
  <c r="BH270" i="13" s="1"/>
  <c r="BA92" i="13"/>
  <c r="BG273" i="13" s="1"/>
  <c r="BH273" i="13" s="1"/>
  <c r="BA93" i="13"/>
  <c r="BG276" i="13" s="1"/>
  <c r="BH276" i="13" s="1"/>
  <c r="BA94" i="13"/>
  <c r="BG279" i="13" s="1"/>
  <c r="BH279" i="13" s="1"/>
  <c r="BA95" i="13"/>
  <c r="BG282" i="13" s="1"/>
  <c r="BH282" i="13" s="1"/>
  <c r="BA96" i="13"/>
  <c r="BG285" i="13" s="1"/>
  <c r="BH285" i="13" s="1"/>
  <c r="BA97" i="13"/>
  <c r="BG288" i="13" s="1"/>
  <c r="BH288" i="13" s="1"/>
  <c r="BA98" i="13"/>
  <c r="BG291" i="13" s="1"/>
  <c r="BH291" i="13" s="1"/>
  <c r="BA99" i="13"/>
  <c r="BG294" i="13" s="1"/>
  <c r="BH294" i="13" s="1"/>
  <c r="BA100" i="13"/>
  <c r="BG297" i="13" s="1"/>
  <c r="BH297" i="13" s="1"/>
  <c r="BA101" i="13"/>
  <c r="BG300" i="13" s="1"/>
  <c r="BH300" i="13" s="1"/>
  <c r="BA102" i="13"/>
  <c r="BG303" i="13" s="1"/>
  <c r="BH303" i="13" s="1"/>
  <c r="BA103" i="13"/>
  <c r="BG306" i="13" s="1"/>
  <c r="BH306" i="13" s="1"/>
  <c r="BA104" i="13"/>
  <c r="BG309" i="13" s="1"/>
  <c r="BH309" i="13" s="1"/>
  <c r="BA105" i="13"/>
  <c r="BG312" i="13" s="1"/>
  <c r="BH312" i="13" s="1"/>
  <c r="BA106" i="13"/>
  <c r="BG315" i="13" s="1"/>
  <c r="BH315" i="13" s="1"/>
  <c r="BA107" i="13"/>
  <c r="BG318" i="13" s="1"/>
  <c r="BH318" i="13" s="1"/>
  <c r="BA108" i="13"/>
  <c r="BG321" i="13" s="1"/>
  <c r="BH321" i="13" s="1"/>
  <c r="BA109" i="13"/>
  <c r="BG324" i="13" s="1"/>
  <c r="BH324" i="13" s="1"/>
  <c r="BA110" i="13"/>
  <c r="BG327" i="13" s="1"/>
  <c r="BH327" i="13" s="1"/>
  <c r="BA111" i="13"/>
  <c r="BG330" i="13" s="1"/>
  <c r="BH330" i="13" s="1"/>
  <c r="BA112" i="13"/>
  <c r="BG333" i="13" s="1"/>
  <c r="BH333" i="13" s="1"/>
  <c r="BA113" i="13"/>
  <c r="BG336" i="13" s="1"/>
  <c r="BH336" i="13" s="1"/>
  <c r="BA114" i="13"/>
  <c r="BG339" i="13" s="1"/>
  <c r="BH339" i="13" s="1"/>
  <c r="BA115" i="13"/>
  <c r="BG342" i="13" s="1"/>
  <c r="BH342" i="13" s="1"/>
  <c r="BA116" i="13"/>
  <c r="BG345" i="13" s="1"/>
  <c r="BH345" i="13" s="1"/>
  <c r="BA117" i="13"/>
  <c r="BG348" i="13" s="1"/>
  <c r="BH348" i="13" s="1"/>
  <c r="BA118" i="13"/>
  <c r="BG351" i="13" s="1"/>
  <c r="BH351" i="13" s="1"/>
  <c r="BA119" i="13"/>
  <c r="BG354" i="13" s="1"/>
  <c r="BH354" i="13" s="1"/>
  <c r="BA120" i="13"/>
  <c r="BG357" i="13" s="1"/>
  <c r="BH357" i="13" s="1"/>
  <c r="BA121" i="13"/>
  <c r="BG360" i="13" s="1"/>
  <c r="BH360" i="13" s="1"/>
  <c r="BA122" i="13"/>
  <c r="BG363" i="13" s="1"/>
  <c r="BH363" i="13" s="1"/>
  <c r="BA123" i="13"/>
  <c r="BG366" i="13" s="1"/>
  <c r="BH366" i="13" s="1"/>
  <c r="BA124" i="13"/>
  <c r="BG369" i="13" s="1"/>
  <c r="BH369" i="13" s="1"/>
  <c r="BA125" i="13"/>
  <c r="BG372" i="13" s="1"/>
  <c r="BH372" i="13" s="1"/>
  <c r="BA126" i="13"/>
  <c r="BG375" i="13" s="1"/>
  <c r="BH375" i="13" s="1"/>
  <c r="BA127" i="13"/>
  <c r="BG378" i="13" s="1"/>
  <c r="BH378" i="13" s="1"/>
  <c r="BA128" i="13"/>
  <c r="BG381" i="13" s="1"/>
  <c r="BH381" i="13" s="1"/>
  <c r="BA129" i="13"/>
  <c r="BG384" i="13" s="1"/>
  <c r="BH384" i="13" s="1"/>
  <c r="BA130" i="13"/>
  <c r="BG387" i="13" s="1"/>
  <c r="BH387" i="13" s="1"/>
  <c r="BA131" i="13"/>
  <c r="BG390" i="13" s="1"/>
  <c r="BH390" i="13" s="1"/>
  <c r="BA132" i="13"/>
  <c r="BG393" i="13" s="1"/>
  <c r="BH393" i="13" s="1"/>
  <c r="BA133" i="13"/>
  <c r="BG396" i="13" s="1"/>
  <c r="BH396" i="13" s="1"/>
  <c r="BA134" i="13"/>
  <c r="BG399" i="13" s="1"/>
  <c r="BH399" i="13" s="1"/>
  <c r="BA135" i="13"/>
  <c r="BG402" i="13" s="1"/>
  <c r="BH402" i="13" s="1"/>
  <c r="BA136" i="13"/>
  <c r="BG405" i="13" s="1"/>
  <c r="BH405" i="13" s="1"/>
  <c r="BA2" i="13"/>
  <c r="BG3" i="13" s="1"/>
  <c r="BH3" i="13" s="1"/>
  <c r="AE140" i="13"/>
  <c r="AE139" i="13"/>
  <c r="AE138" i="13"/>
  <c r="AA140" i="13"/>
  <c r="AA139" i="13"/>
  <c r="AA138" i="13"/>
  <c r="W140" i="13"/>
  <c r="W139" i="13"/>
  <c r="W138" i="13"/>
  <c r="S140" i="13"/>
  <c r="S139" i="13"/>
  <c r="S138" i="13"/>
  <c r="AZ3" i="13"/>
  <c r="BG5" i="13" s="1"/>
  <c r="BH5" i="13" s="1"/>
  <c r="AZ4" i="13"/>
  <c r="BG8" i="13" s="1"/>
  <c r="BH8" i="13" s="1"/>
  <c r="AZ5" i="13"/>
  <c r="BG11" i="13" s="1"/>
  <c r="BH11" i="13" s="1"/>
  <c r="AZ6" i="13"/>
  <c r="BG14" i="13" s="1"/>
  <c r="BH14" i="13" s="1"/>
  <c r="AZ7" i="13"/>
  <c r="BG17" i="13" s="1"/>
  <c r="BH17" i="13" s="1"/>
  <c r="AZ8" i="13"/>
  <c r="BG20" i="13" s="1"/>
  <c r="BH20" i="13" s="1"/>
  <c r="AZ9" i="13"/>
  <c r="BG23" i="13" s="1"/>
  <c r="BH23" i="13" s="1"/>
  <c r="AZ10" i="13"/>
  <c r="BG26" i="13" s="1"/>
  <c r="BH26" i="13" s="1"/>
  <c r="AZ11" i="13"/>
  <c r="BG29" i="13" s="1"/>
  <c r="BH29" i="13" s="1"/>
  <c r="AZ12" i="13"/>
  <c r="BG32" i="13" s="1"/>
  <c r="BH32" i="13" s="1"/>
  <c r="AZ13" i="13"/>
  <c r="BG35" i="13" s="1"/>
  <c r="BH35" i="13" s="1"/>
  <c r="AZ14" i="13"/>
  <c r="BG38" i="13" s="1"/>
  <c r="BH38" i="13" s="1"/>
  <c r="AZ15" i="13"/>
  <c r="BG41" i="13" s="1"/>
  <c r="BH41" i="13" s="1"/>
  <c r="AZ16" i="13"/>
  <c r="BG44" i="13" s="1"/>
  <c r="BH44" i="13" s="1"/>
  <c r="AZ17" i="13"/>
  <c r="BG47" i="13" s="1"/>
  <c r="BH47" i="13" s="1"/>
  <c r="AZ18" i="13"/>
  <c r="BG50" i="13" s="1"/>
  <c r="BH50" i="13" s="1"/>
  <c r="AZ19" i="13"/>
  <c r="BG53" i="13" s="1"/>
  <c r="BH53" i="13" s="1"/>
  <c r="AZ20" i="13"/>
  <c r="BG56" i="13" s="1"/>
  <c r="BH56" i="13" s="1"/>
  <c r="AZ21" i="13"/>
  <c r="BG59" i="13" s="1"/>
  <c r="BH59" i="13" s="1"/>
  <c r="AZ22" i="13"/>
  <c r="BG62" i="13" s="1"/>
  <c r="BH62" i="13" s="1"/>
  <c r="AZ23" i="13"/>
  <c r="BG65" i="13" s="1"/>
  <c r="BH65" i="13" s="1"/>
  <c r="AZ24" i="13"/>
  <c r="BG68" i="13" s="1"/>
  <c r="BH68" i="13" s="1"/>
  <c r="AZ25" i="13"/>
  <c r="BG71" i="13" s="1"/>
  <c r="BH71" i="13" s="1"/>
  <c r="AZ26" i="13"/>
  <c r="BG74" i="13" s="1"/>
  <c r="BH74" i="13" s="1"/>
  <c r="AZ27" i="13"/>
  <c r="BG77" i="13" s="1"/>
  <c r="BH77" i="13" s="1"/>
  <c r="AZ28" i="13"/>
  <c r="BG80" i="13" s="1"/>
  <c r="BH80" i="13" s="1"/>
  <c r="AZ29" i="13"/>
  <c r="BG83" i="13" s="1"/>
  <c r="BH83" i="13" s="1"/>
  <c r="AZ30" i="13"/>
  <c r="BG86" i="13" s="1"/>
  <c r="BH86" i="13" s="1"/>
  <c r="AZ31" i="13"/>
  <c r="BG89" i="13" s="1"/>
  <c r="BH89" i="13" s="1"/>
  <c r="AZ32" i="13"/>
  <c r="BG92" i="13" s="1"/>
  <c r="BH92" i="13" s="1"/>
  <c r="AZ33" i="13"/>
  <c r="BG95" i="13" s="1"/>
  <c r="BH95" i="13" s="1"/>
  <c r="AZ34" i="13"/>
  <c r="BG98" i="13" s="1"/>
  <c r="BH98" i="13" s="1"/>
  <c r="AZ35" i="13"/>
  <c r="BG101" i="13" s="1"/>
  <c r="BH101" i="13" s="1"/>
  <c r="AZ36" i="13"/>
  <c r="BG104" i="13" s="1"/>
  <c r="BH104" i="13" s="1"/>
  <c r="AZ37" i="13"/>
  <c r="BG107" i="13" s="1"/>
  <c r="BH107" i="13" s="1"/>
  <c r="AZ38" i="13"/>
  <c r="BG110" i="13" s="1"/>
  <c r="BH110" i="13" s="1"/>
  <c r="AZ39" i="13"/>
  <c r="BG113" i="13" s="1"/>
  <c r="BH113" i="13" s="1"/>
  <c r="AZ40" i="13"/>
  <c r="BG116" i="13" s="1"/>
  <c r="BH116" i="13" s="1"/>
  <c r="AZ41" i="13"/>
  <c r="BG119" i="13" s="1"/>
  <c r="BH119" i="13" s="1"/>
  <c r="AZ42" i="13"/>
  <c r="BG122" i="13" s="1"/>
  <c r="BH122" i="13" s="1"/>
  <c r="AZ43" i="13"/>
  <c r="BG125" i="13" s="1"/>
  <c r="BH125" i="13" s="1"/>
  <c r="AZ44" i="13"/>
  <c r="BG128" i="13" s="1"/>
  <c r="BH128" i="13" s="1"/>
  <c r="AZ45" i="13"/>
  <c r="BG131" i="13" s="1"/>
  <c r="BH131" i="13" s="1"/>
  <c r="AZ46" i="13"/>
  <c r="BG134" i="13" s="1"/>
  <c r="BH134" i="13" s="1"/>
  <c r="AZ47" i="13"/>
  <c r="BG137" i="13" s="1"/>
  <c r="BH137" i="13" s="1"/>
  <c r="AZ48" i="13"/>
  <c r="BG140" i="13" s="1"/>
  <c r="BH140" i="13" s="1"/>
  <c r="AZ49" i="13"/>
  <c r="BG143" i="13" s="1"/>
  <c r="BH143" i="13" s="1"/>
  <c r="AZ50" i="13"/>
  <c r="BG146" i="13" s="1"/>
  <c r="BH146" i="13" s="1"/>
  <c r="AZ51" i="13"/>
  <c r="BG149" i="13" s="1"/>
  <c r="BH149" i="13" s="1"/>
  <c r="AZ52" i="13"/>
  <c r="BG152" i="13" s="1"/>
  <c r="BH152" i="13" s="1"/>
  <c r="AZ53" i="13"/>
  <c r="BG155" i="13" s="1"/>
  <c r="BH155" i="13" s="1"/>
  <c r="AZ54" i="13"/>
  <c r="BG158" i="13" s="1"/>
  <c r="BH158" i="13" s="1"/>
  <c r="AZ55" i="13"/>
  <c r="BG161" i="13" s="1"/>
  <c r="BH161" i="13" s="1"/>
  <c r="AZ56" i="13"/>
  <c r="BG164" i="13" s="1"/>
  <c r="BH164" i="13" s="1"/>
  <c r="AZ57" i="13"/>
  <c r="BG167" i="13" s="1"/>
  <c r="BH167" i="13" s="1"/>
  <c r="AZ58" i="13"/>
  <c r="BG170" i="13" s="1"/>
  <c r="BH170" i="13" s="1"/>
  <c r="AZ59" i="13"/>
  <c r="BG173" i="13" s="1"/>
  <c r="BH173" i="13" s="1"/>
  <c r="AZ60" i="13"/>
  <c r="BG176" i="13" s="1"/>
  <c r="BH176" i="13" s="1"/>
  <c r="AZ61" i="13"/>
  <c r="BG179" i="13" s="1"/>
  <c r="BH179" i="13" s="1"/>
  <c r="AZ62" i="13"/>
  <c r="BG182" i="13" s="1"/>
  <c r="BH182" i="13" s="1"/>
  <c r="AZ63" i="13"/>
  <c r="BG185" i="13" s="1"/>
  <c r="BH185" i="13" s="1"/>
  <c r="AZ64" i="13"/>
  <c r="BG188" i="13" s="1"/>
  <c r="BH188" i="13" s="1"/>
  <c r="AZ65" i="13"/>
  <c r="BG191" i="13" s="1"/>
  <c r="BH191" i="13" s="1"/>
  <c r="AZ66" i="13"/>
  <c r="BG194" i="13" s="1"/>
  <c r="BH194" i="13" s="1"/>
  <c r="AZ67" i="13"/>
  <c r="BG197" i="13" s="1"/>
  <c r="BH197" i="13" s="1"/>
  <c r="AZ68" i="13"/>
  <c r="BG200" i="13" s="1"/>
  <c r="BH200" i="13" s="1"/>
  <c r="AZ69" i="13"/>
  <c r="BG203" i="13" s="1"/>
  <c r="BH203" i="13" s="1"/>
  <c r="AZ70" i="13"/>
  <c r="BG206" i="13" s="1"/>
  <c r="BH206" i="13" s="1"/>
  <c r="AZ71" i="13"/>
  <c r="BG209" i="13" s="1"/>
  <c r="BH209" i="13" s="1"/>
  <c r="AZ72" i="13"/>
  <c r="BG212" i="13" s="1"/>
  <c r="BH212" i="13" s="1"/>
  <c r="AZ73" i="13"/>
  <c r="BG215" i="13" s="1"/>
  <c r="BH215" i="13" s="1"/>
  <c r="AZ74" i="13"/>
  <c r="BG218" i="13" s="1"/>
  <c r="BH218" i="13" s="1"/>
  <c r="AZ75" i="13"/>
  <c r="BG221" i="13" s="1"/>
  <c r="BH221" i="13" s="1"/>
  <c r="AZ76" i="13"/>
  <c r="BG224" i="13" s="1"/>
  <c r="BH224" i="13" s="1"/>
  <c r="AZ77" i="13"/>
  <c r="BG227" i="13" s="1"/>
  <c r="BH227" i="13" s="1"/>
  <c r="AZ78" i="13"/>
  <c r="BG230" i="13" s="1"/>
  <c r="BH230" i="13" s="1"/>
  <c r="AZ79" i="13"/>
  <c r="BG233" i="13" s="1"/>
  <c r="BH233" i="13" s="1"/>
  <c r="AZ80" i="13"/>
  <c r="BG236" i="13" s="1"/>
  <c r="BH236" i="13" s="1"/>
  <c r="AZ81" i="13"/>
  <c r="BG239" i="13" s="1"/>
  <c r="BH239" i="13" s="1"/>
  <c r="AZ82" i="13"/>
  <c r="BG242" i="13" s="1"/>
  <c r="BH242" i="13" s="1"/>
  <c r="AZ83" i="13"/>
  <c r="BG245" i="13" s="1"/>
  <c r="BH245" i="13" s="1"/>
  <c r="AZ84" i="13"/>
  <c r="BG248" i="13" s="1"/>
  <c r="BH248" i="13" s="1"/>
  <c r="AZ85" i="13"/>
  <c r="BG251" i="13" s="1"/>
  <c r="BH251" i="13" s="1"/>
  <c r="AZ86" i="13"/>
  <c r="BG254" i="13" s="1"/>
  <c r="BH254" i="13" s="1"/>
  <c r="AZ87" i="13"/>
  <c r="BG257" i="13" s="1"/>
  <c r="BH257" i="13" s="1"/>
  <c r="AZ88" i="13"/>
  <c r="BG260" i="13" s="1"/>
  <c r="BH260" i="13" s="1"/>
  <c r="AZ89" i="13"/>
  <c r="BG263" i="13" s="1"/>
  <c r="BH263" i="13" s="1"/>
  <c r="AZ90" i="13"/>
  <c r="BG266" i="13" s="1"/>
  <c r="BH266" i="13" s="1"/>
  <c r="AZ91" i="13"/>
  <c r="BG269" i="13" s="1"/>
  <c r="BH269" i="13" s="1"/>
  <c r="AZ92" i="13"/>
  <c r="BG272" i="13" s="1"/>
  <c r="BH272" i="13" s="1"/>
  <c r="AZ93" i="13"/>
  <c r="BG275" i="13" s="1"/>
  <c r="BH275" i="13" s="1"/>
  <c r="AZ94" i="13"/>
  <c r="BG278" i="13" s="1"/>
  <c r="BH278" i="13" s="1"/>
  <c r="AZ95" i="13"/>
  <c r="BG281" i="13" s="1"/>
  <c r="BH281" i="13" s="1"/>
  <c r="AZ96" i="13"/>
  <c r="BG284" i="13" s="1"/>
  <c r="BH284" i="13" s="1"/>
  <c r="AZ97" i="13"/>
  <c r="BG287" i="13" s="1"/>
  <c r="BH287" i="13" s="1"/>
  <c r="AZ98" i="13"/>
  <c r="BG290" i="13" s="1"/>
  <c r="BH290" i="13" s="1"/>
  <c r="AZ99" i="13"/>
  <c r="BG293" i="13" s="1"/>
  <c r="BH293" i="13" s="1"/>
  <c r="AZ100" i="13"/>
  <c r="BG296" i="13" s="1"/>
  <c r="BH296" i="13" s="1"/>
  <c r="AZ101" i="13"/>
  <c r="BG299" i="13" s="1"/>
  <c r="BH299" i="13" s="1"/>
  <c r="AZ102" i="13"/>
  <c r="BG302" i="13" s="1"/>
  <c r="BH302" i="13" s="1"/>
  <c r="AZ103" i="13"/>
  <c r="BG305" i="13" s="1"/>
  <c r="BH305" i="13" s="1"/>
  <c r="AZ104" i="13"/>
  <c r="BG308" i="13" s="1"/>
  <c r="BH308" i="13" s="1"/>
  <c r="AZ105" i="13"/>
  <c r="BG311" i="13" s="1"/>
  <c r="BH311" i="13" s="1"/>
  <c r="AZ106" i="13"/>
  <c r="BG314" i="13" s="1"/>
  <c r="BH314" i="13" s="1"/>
  <c r="AZ107" i="13"/>
  <c r="BG317" i="13" s="1"/>
  <c r="BH317" i="13" s="1"/>
  <c r="AZ108" i="13"/>
  <c r="BG320" i="13" s="1"/>
  <c r="BH320" i="13" s="1"/>
  <c r="AZ109" i="13"/>
  <c r="BG323" i="13" s="1"/>
  <c r="BH323" i="13" s="1"/>
  <c r="AZ110" i="13"/>
  <c r="BG326" i="13" s="1"/>
  <c r="BH326" i="13" s="1"/>
  <c r="AZ111" i="13"/>
  <c r="BG329" i="13" s="1"/>
  <c r="BH329" i="13" s="1"/>
  <c r="AZ112" i="13"/>
  <c r="BG332" i="13" s="1"/>
  <c r="BH332" i="13" s="1"/>
  <c r="AZ113" i="13"/>
  <c r="BG335" i="13" s="1"/>
  <c r="BH335" i="13" s="1"/>
  <c r="AZ114" i="13"/>
  <c r="BG338" i="13" s="1"/>
  <c r="BH338" i="13" s="1"/>
  <c r="AZ115" i="13"/>
  <c r="BG341" i="13" s="1"/>
  <c r="BH341" i="13" s="1"/>
  <c r="AZ116" i="13"/>
  <c r="BG344" i="13" s="1"/>
  <c r="BH344" i="13" s="1"/>
  <c r="AZ117" i="13"/>
  <c r="BG347" i="13" s="1"/>
  <c r="BH347" i="13" s="1"/>
  <c r="AZ118" i="13"/>
  <c r="BG350" i="13" s="1"/>
  <c r="BH350" i="13" s="1"/>
  <c r="AZ119" i="13"/>
  <c r="BG353" i="13" s="1"/>
  <c r="BH353" i="13" s="1"/>
  <c r="AZ120" i="13"/>
  <c r="BG356" i="13" s="1"/>
  <c r="BH356" i="13" s="1"/>
  <c r="AZ121" i="13"/>
  <c r="BG359" i="13" s="1"/>
  <c r="BH359" i="13" s="1"/>
  <c r="AZ122" i="13"/>
  <c r="BG362" i="13" s="1"/>
  <c r="BH362" i="13" s="1"/>
  <c r="AZ123" i="13"/>
  <c r="BG365" i="13" s="1"/>
  <c r="BH365" i="13" s="1"/>
  <c r="AZ124" i="13"/>
  <c r="BG368" i="13" s="1"/>
  <c r="BH368" i="13" s="1"/>
  <c r="AZ125" i="13"/>
  <c r="BG371" i="13" s="1"/>
  <c r="BH371" i="13" s="1"/>
  <c r="AZ126" i="13"/>
  <c r="BG374" i="13" s="1"/>
  <c r="BH374" i="13" s="1"/>
  <c r="AZ127" i="13"/>
  <c r="BG377" i="13" s="1"/>
  <c r="BH377" i="13" s="1"/>
  <c r="AZ128" i="13"/>
  <c r="BG380" i="13" s="1"/>
  <c r="BH380" i="13" s="1"/>
  <c r="AZ129" i="13"/>
  <c r="BG383" i="13" s="1"/>
  <c r="BH383" i="13" s="1"/>
  <c r="AZ130" i="13"/>
  <c r="BG386" i="13" s="1"/>
  <c r="BH386" i="13" s="1"/>
  <c r="AZ131" i="13"/>
  <c r="BG389" i="13" s="1"/>
  <c r="BH389" i="13" s="1"/>
  <c r="AZ132" i="13"/>
  <c r="BG392" i="13" s="1"/>
  <c r="BH392" i="13" s="1"/>
  <c r="AZ133" i="13"/>
  <c r="BG395" i="13" s="1"/>
  <c r="BH395" i="13" s="1"/>
  <c r="AZ134" i="13"/>
  <c r="BG398" i="13" s="1"/>
  <c r="BH398" i="13" s="1"/>
  <c r="AZ135" i="13"/>
  <c r="BG401" i="13" s="1"/>
  <c r="BH401" i="13" s="1"/>
  <c r="AZ136" i="13"/>
  <c r="BG404" i="13" s="1"/>
  <c r="BH404" i="13" s="1"/>
  <c r="N140" i="13"/>
  <c r="N139" i="13"/>
  <c r="N138" i="13"/>
  <c r="J140" i="13"/>
  <c r="J139" i="13"/>
  <c r="J138" i="13"/>
  <c r="F140" i="13"/>
  <c r="F139" i="13"/>
  <c r="F138" i="13"/>
  <c r="B140" i="13"/>
  <c r="B139" i="13"/>
  <c r="B138" i="1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H18" i="10" l="1"/>
  <c r="C131" i="3"/>
  <c r="C132" i="3"/>
  <c r="C133" i="3"/>
  <c r="C134" i="3"/>
  <c r="C135" i="3"/>
  <c r="C136" i="3"/>
  <c r="C137" i="3"/>
  <c r="C138" i="3"/>
  <c r="C139" i="3"/>
  <c r="C140" i="3"/>
  <c r="C141" i="3"/>
  <c r="C142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C81" i="3"/>
  <c r="C82" i="3"/>
  <c r="B82" i="8" s="1"/>
  <c r="C83" i="3"/>
  <c r="C84" i="3"/>
  <c r="B84" i="8" s="1"/>
  <c r="C85" i="3"/>
  <c r="C86" i="3"/>
  <c r="C87" i="3"/>
  <c r="B87" i="8" s="1"/>
  <c r="C88" i="3"/>
  <c r="B88" i="8" s="1"/>
  <c r="C89" i="3"/>
  <c r="C90" i="3"/>
  <c r="B90" i="8" s="1"/>
  <c r="C91" i="3"/>
  <c r="C92" i="3"/>
  <c r="C93" i="3"/>
  <c r="C94" i="3"/>
  <c r="C95" i="3"/>
  <c r="C96" i="3"/>
  <c r="B81" i="8"/>
  <c r="B85" i="8"/>
  <c r="B93" i="8" l="1"/>
  <c r="B97" i="8"/>
  <c r="B95" i="8"/>
  <c r="B83" i="8"/>
  <c r="K415" i="2"/>
  <c r="B38" i="3" l="1"/>
  <c r="G141" i="9"/>
  <c r="J141" i="9"/>
  <c r="D141" i="9"/>
  <c r="B140" i="6"/>
  <c r="B143" i="9" s="1"/>
  <c r="K142" i="3"/>
  <c r="H142" i="8"/>
  <c r="H143" i="8"/>
  <c r="H144" i="8"/>
  <c r="I142" i="7"/>
  <c r="L142" i="7"/>
  <c r="K142" i="8"/>
  <c r="N142" i="8"/>
  <c r="O142" i="7"/>
  <c r="K142" i="7"/>
  <c r="J142" i="8"/>
  <c r="A144" i="8"/>
  <c r="A145" i="8"/>
  <c r="B144" i="7"/>
  <c r="B145" i="7"/>
  <c r="B139" i="6"/>
  <c r="B142" i="9" s="1"/>
  <c r="B142" i="3"/>
  <c r="B141" i="6"/>
  <c r="A146" i="8"/>
  <c r="B147" i="7"/>
  <c r="J138" i="6"/>
  <c r="Q138" i="6" s="1"/>
  <c r="J139" i="6"/>
  <c r="J140" i="6"/>
  <c r="J141" i="6"/>
  <c r="K139" i="6"/>
  <c r="K140" i="6"/>
  <c r="K141" i="6"/>
  <c r="P141" i="6"/>
  <c r="P138" i="6"/>
  <c r="P139" i="6"/>
  <c r="P140" i="6"/>
  <c r="Q139" i="6"/>
  <c r="Q140" i="6"/>
  <c r="Q141" i="6"/>
  <c r="K141" i="3"/>
  <c r="I141" i="7"/>
  <c r="H141" i="8"/>
  <c r="L141" i="7"/>
  <c r="K141" i="8"/>
  <c r="O141" i="7"/>
  <c r="N141" i="8"/>
  <c r="J141" i="8"/>
  <c r="K141" i="7"/>
  <c r="B141" i="3"/>
  <c r="K412" i="2"/>
  <c r="G139" i="9"/>
  <c r="J139" i="9"/>
  <c r="K140" i="3"/>
  <c r="I140" i="7"/>
  <c r="H140" i="8"/>
  <c r="L140" i="7"/>
  <c r="K140" i="8"/>
  <c r="N140" i="8"/>
  <c r="O140" i="7"/>
  <c r="K140" i="7"/>
  <c r="J140" i="8"/>
  <c r="B140" i="3"/>
  <c r="K409" i="2"/>
  <c r="B143" i="7" l="1"/>
  <c r="A143" i="8"/>
  <c r="B142" i="6"/>
  <c r="B146" i="7"/>
  <c r="D136" i="6"/>
  <c r="D137" i="6"/>
  <c r="F137" i="6" s="1"/>
  <c r="D139" i="6"/>
  <c r="F139" i="6" s="1"/>
  <c r="D140" i="6"/>
  <c r="F140" i="6" s="1"/>
  <c r="F136" i="6"/>
  <c r="F141" i="6"/>
  <c r="J136" i="6"/>
  <c r="J137" i="6"/>
  <c r="K136" i="6"/>
  <c r="K137" i="6"/>
  <c r="L137" i="6" s="1"/>
  <c r="L140" i="6"/>
  <c r="L141" i="6"/>
  <c r="R139" i="6"/>
  <c r="R140" i="6"/>
  <c r="R141" i="6"/>
  <c r="K139" i="3"/>
  <c r="I139" i="7"/>
  <c r="H139" i="8"/>
  <c r="L139" i="7"/>
  <c r="K139" i="8"/>
  <c r="N139" i="8"/>
  <c r="O139" i="7"/>
  <c r="F139" i="7"/>
  <c r="F140" i="7"/>
  <c r="F141" i="7"/>
  <c r="F142" i="7"/>
  <c r="F143" i="7"/>
  <c r="F144" i="7"/>
  <c r="K139" i="7"/>
  <c r="E139" i="8"/>
  <c r="E140" i="8"/>
  <c r="E141" i="8"/>
  <c r="E142" i="8"/>
  <c r="E143" i="8"/>
  <c r="E144" i="8"/>
  <c r="E145" i="8"/>
  <c r="E146" i="8"/>
  <c r="E147" i="8"/>
  <c r="J139" i="8"/>
  <c r="B139" i="3"/>
  <c r="B139" i="7" s="1"/>
  <c r="K406" i="2"/>
  <c r="G137" i="9"/>
  <c r="D137" i="9"/>
  <c r="I138" i="7"/>
  <c r="H138" i="8"/>
  <c r="L138" i="7"/>
  <c r="K138" i="8"/>
  <c r="N138" i="8"/>
  <c r="O138" i="7"/>
  <c r="K138" i="7"/>
  <c r="J138" i="8"/>
  <c r="B138" i="3"/>
  <c r="B138" i="7" s="1"/>
  <c r="G136" i="9"/>
  <c r="J136" i="9"/>
  <c r="F136" i="9"/>
  <c r="F137" i="9"/>
  <c r="F138" i="9"/>
  <c r="F139" i="9"/>
  <c r="F140" i="9"/>
  <c r="F141" i="9"/>
  <c r="F142" i="9"/>
  <c r="F143" i="9"/>
  <c r="D136" i="9"/>
  <c r="Q133" i="6"/>
  <c r="Q136" i="6"/>
  <c r="R136" i="6" s="1"/>
  <c r="Q137" i="6"/>
  <c r="R137" i="6" s="1"/>
  <c r="R138" i="6"/>
  <c r="P133" i="6"/>
  <c r="P134" i="6"/>
  <c r="P135" i="6"/>
  <c r="P136" i="6"/>
  <c r="P137" i="6"/>
  <c r="I137" i="7"/>
  <c r="H137" i="8"/>
  <c r="L137" i="7"/>
  <c r="K137" i="8"/>
  <c r="N137" i="8"/>
  <c r="O137" i="7"/>
  <c r="K137" i="7"/>
  <c r="J137" i="8"/>
  <c r="O137" i="3"/>
  <c r="P137" i="3" s="1"/>
  <c r="O139" i="3"/>
  <c r="P139" i="3" s="1"/>
  <c r="O140" i="3"/>
  <c r="P140" i="3" s="1"/>
  <c r="O141" i="3"/>
  <c r="P141" i="3" s="1"/>
  <c r="F137" i="3"/>
  <c r="F138" i="3"/>
  <c r="F139" i="3"/>
  <c r="F140" i="3"/>
  <c r="F141" i="3"/>
  <c r="F142" i="3"/>
  <c r="B137" i="3"/>
  <c r="K400" i="2"/>
  <c r="K403" i="2"/>
  <c r="A139" i="8" l="1"/>
  <c r="A138" i="8"/>
  <c r="B135" i="6"/>
  <c r="B138" i="9" s="1"/>
  <c r="B134" i="6"/>
  <c r="B137" i="9" s="1"/>
  <c r="L136" i="6"/>
  <c r="L139" i="6"/>
  <c r="G135" i="9"/>
  <c r="J135" i="9"/>
  <c r="I136" i="7"/>
  <c r="H136" i="8"/>
  <c r="L136" i="7"/>
  <c r="K136" i="8"/>
  <c r="N136" i="8"/>
  <c r="O136" i="7"/>
  <c r="K136" i="7"/>
  <c r="J136" i="8"/>
  <c r="E136" i="3"/>
  <c r="K132" i="6" s="1"/>
  <c r="L132" i="6" s="1"/>
  <c r="B136" i="3"/>
  <c r="B132" i="6" s="1"/>
  <c r="K397" i="2"/>
  <c r="L134" i="9"/>
  <c r="L135" i="9"/>
  <c r="L136" i="9"/>
  <c r="L137" i="9"/>
  <c r="L138" i="9"/>
  <c r="L139" i="9"/>
  <c r="L140" i="9"/>
  <c r="L141" i="9"/>
  <c r="L142" i="9"/>
  <c r="L143" i="9"/>
  <c r="I134" i="9"/>
  <c r="I135" i="9"/>
  <c r="I136" i="9"/>
  <c r="I137" i="9"/>
  <c r="I138" i="9"/>
  <c r="I139" i="9"/>
  <c r="I140" i="9"/>
  <c r="I141" i="9"/>
  <c r="I142" i="9"/>
  <c r="I143" i="9"/>
  <c r="I135" i="7"/>
  <c r="H135" i="8"/>
  <c r="K135" i="8"/>
  <c r="K135" i="7"/>
  <c r="J135" i="8"/>
  <c r="K394" i="2"/>
  <c r="G133" i="9"/>
  <c r="J133" i="9"/>
  <c r="D133" i="9"/>
  <c r="B130" i="6"/>
  <c r="I134" i="7"/>
  <c r="H134" i="8"/>
  <c r="F134" i="7"/>
  <c r="F135" i="7"/>
  <c r="F136" i="7"/>
  <c r="F137" i="7"/>
  <c r="F138" i="7"/>
  <c r="K134" i="7"/>
  <c r="A134" i="8"/>
  <c r="B134" i="7"/>
  <c r="K388" i="2"/>
  <c r="K391" i="2"/>
  <c r="B129" i="6"/>
  <c r="I133" i="7"/>
  <c r="H133" i="8"/>
  <c r="E133" i="8"/>
  <c r="E134" i="8"/>
  <c r="E135" i="8"/>
  <c r="E136" i="8"/>
  <c r="E137" i="8"/>
  <c r="E138" i="8"/>
  <c r="A133" i="8"/>
  <c r="B133" i="7"/>
  <c r="B128" i="6"/>
  <c r="I132" i="7"/>
  <c r="A132" i="8"/>
  <c r="B132" i="7"/>
  <c r="K132" i="3"/>
  <c r="K133" i="3"/>
  <c r="K134" i="3"/>
  <c r="K135" i="3"/>
  <c r="K136" i="3"/>
  <c r="K137" i="3"/>
  <c r="K138" i="3"/>
  <c r="K385" i="2"/>
  <c r="J130" i="6"/>
  <c r="J131" i="6"/>
  <c r="J132" i="6"/>
  <c r="J133" i="6"/>
  <c r="J134" i="6"/>
  <c r="Q134" i="6" s="1"/>
  <c r="J135" i="6"/>
  <c r="Q135" i="6" s="1"/>
  <c r="R135" i="6" s="1"/>
  <c r="K128" i="6"/>
  <c r="K129" i="6"/>
  <c r="K130" i="6"/>
  <c r="L130" i="6" s="1"/>
  <c r="K131" i="6"/>
  <c r="K133" i="6"/>
  <c r="L133" i="6" s="1"/>
  <c r="K135" i="6"/>
  <c r="D127" i="6"/>
  <c r="F127" i="6" s="1"/>
  <c r="D128" i="6"/>
  <c r="F128" i="6" s="1"/>
  <c r="D129" i="6"/>
  <c r="F129" i="6" s="1"/>
  <c r="D130" i="6"/>
  <c r="F130" i="6" s="1"/>
  <c r="D131" i="6"/>
  <c r="F131" i="6" s="1"/>
  <c r="D133" i="6"/>
  <c r="F133" i="6" s="1"/>
  <c r="D135" i="6"/>
  <c r="F135" i="6" s="1"/>
  <c r="R133" i="6"/>
  <c r="R134" i="6"/>
  <c r="K131" i="3"/>
  <c r="I131" i="7"/>
  <c r="K382" i="2"/>
  <c r="B136" i="7" l="1"/>
  <c r="D132" i="6"/>
  <c r="F132" i="6" s="1"/>
  <c r="A136" i="8"/>
  <c r="L135" i="6"/>
  <c r="L131" i="6"/>
  <c r="I129" i="9"/>
  <c r="I130" i="9"/>
  <c r="I131" i="9"/>
  <c r="I132" i="9"/>
  <c r="I133" i="9"/>
  <c r="G129" i="9"/>
  <c r="J129" i="9"/>
  <c r="K129" i="9"/>
  <c r="H129" i="9"/>
  <c r="D129" i="9"/>
  <c r="E129" i="9"/>
  <c r="E126" i="6"/>
  <c r="K130" i="3"/>
  <c r="I130" i="7"/>
  <c r="J130" i="8"/>
  <c r="J131" i="8"/>
  <c r="J132" i="8"/>
  <c r="K132" i="8" s="1"/>
  <c r="J133" i="8"/>
  <c r="K133" i="8" s="1"/>
  <c r="J134" i="8"/>
  <c r="K134" i="8" s="1"/>
  <c r="M130" i="8"/>
  <c r="N130" i="8" s="1"/>
  <c r="L130" i="8"/>
  <c r="N131" i="8"/>
  <c r="N132" i="8"/>
  <c r="N133" i="8"/>
  <c r="N134" i="8"/>
  <c r="N135" i="8"/>
  <c r="K130" i="8"/>
  <c r="K131" i="8"/>
  <c r="N130" i="7"/>
  <c r="M130" i="7"/>
  <c r="O130" i="7"/>
  <c r="O131" i="7"/>
  <c r="O132" i="7"/>
  <c r="O133" i="7"/>
  <c r="O134" i="7"/>
  <c r="O135" i="7"/>
  <c r="L130" i="7"/>
  <c r="L134" i="7"/>
  <c r="L135" i="7"/>
  <c r="K130" i="7"/>
  <c r="K131" i="7"/>
  <c r="L131" i="7" s="1"/>
  <c r="K132" i="7"/>
  <c r="J128" i="6" s="1"/>
  <c r="L128" i="6" s="1"/>
  <c r="K133" i="7"/>
  <c r="J129" i="6" s="1"/>
  <c r="L129" i="6" s="1"/>
  <c r="O131" i="3"/>
  <c r="P131" i="3" s="1"/>
  <c r="O132" i="3"/>
  <c r="P132" i="3" s="1"/>
  <c r="O133" i="3"/>
  <c r="P133" i="3" s="1"/>
  <c r="O134" i="3"/>
  <c r="P134" i="3" s="1"/>
  <c r="O135" i="3"/>
  <c r="P135" i="3" s="1"/>
  <c r="O136" i="3"/>
  <c r="P136" i="3" s="1"/>
  <c r="T130" i="3"/>
  <c r="S130" i="3"/>
  <c r="F131" i="3"/>
  <c r="F132" i="3"/>
  <c r="F133" i="3"/>
  <c r="F134" i="3"/>
  <c r="F135" i="3"/>
  <c r="F136" i="3"/>
  <c r="F130" i="3"/>
  <c r="K376" i="2"/>
  <c r="K379" i="2"/>
  <c r="I128" i="9"/>
  <c r="K129" i="3"/>
  <c r="K129" i="8"/>
  <c r="N129" i="8"/>
  <c r="O129" i="7"/>
  <c r="J129" i="8"/>
  <c r="O129" i="3"/>
  <c r="P129" i="3" s="1"/>
  <c r="I127" i="9"/>
  <c r="K128" i="3"/>
  <c r="O128" i="7"/>
  <c r="F128" i="7"/>
  <c r="F129" i="7"/>
  <c r="F130" i="7"/>
  <c r="F131" i="7"/>
  <c r="F132" i="7"/>
  <c r="F133" i="7"/>
  <c r="J128" i="8"/>
  <c r="O128" i="3"/>
  <c r="P128" i="3" s="1"/>
  <c r="K373" i="2"/>
  <c r="I126" i="9"/>
  <c r="B123" i="6"/>
  <c r="K127" i="3"/>
  <c r="O127" i="7"/>
  <c r="A127" i="8"/>
  <c r="B127" i="7"/>
  <c r="K370" i="2"/>
  <c r="O130" i="3" l="1"/>
  <c r="P130" i="3" s="1"/>
  <c r="L133" i="7"/>
  <c r="L132" i="7"/>
  <c r="K126" i="3"/>
  <c r="K364" i="2"/>
  <c r="K367" i="2"/>
  <c r="Q126" i="6"/>
  <c r="Q130" i="6"/>
  <c r="Q131" i="6"/>
  <c r="Q132" i="6"/>
  <c r="R132" i="6" s="1"/>
  <c r="P122" i="6"/>
  <c r="P123" i="6"/>
  <c r="P124" i="6"/>
  <c r="P125" i="6"/>
  <c r="P126" i="6"/>
  <c r="P127" i="6"/>
  <c r="P128" i="6"/>
  <c r="P129" i="6"/>
  <c r="P130" i="6"/>
  <c r="P131" i="6"/>
  <c r="P132" i="6"/>
  <c r="J126" i="6"/>
  <c r="J127" i="6"/>
  <c r="Q127" i="6" s="1"/>
  <c r="R127" i="6" s="1"/>
  <c r="Q128" i="6"/>
  <c r="Q129" i="6"/>
  <c r="K122" i="6"/>
  <c r="K123" i="6"/>
  <c r="K124" i="6"/>
  <c r="K125" i="6"/>
  <c r="K126" i="6"/>
  <c r="K127" i="6"/>
  <c r="L127" i="6" s="1"/>
  <c r="B121" i="6"/>
  <c r="K125" i="3"/>
  <c r="A125" i="8"/>
  <c r="B125" i="7"/>
  <c r="R126" i="6" l="1"/>
  <c r="R131" i="6"/>
  <c r="R130" i="6"/>
  <c r="R129" i="6"/>
  <c r="R128" i="6"/>
  <c r="L126" i="6"/>
  <c r="B120" i="6"/>
  <c r="B123" i="9" s="1"/>
  <c r="B124" i="9"/>
  <c r="K124" i="3"/>
  <c r="F125" i="3"/>
  <c r="F126" i="3"/>
  <c r="F127" i="3"/>
  <c r="F128" i="3"/>
  <c r="F129" i="3"/>
  <c r="F124" i="3"/>
  <c r="E125" i="8"/>
  <c r="E126" i="8"/>
  <c r="E127" i="8"/>
  <c r="E128" i="8"/>
  <c r="E129" i="8"/>
  <c r="E130" i="8"/>
  <c r="E131" i="8"/>
  <c r="E132" i="8"/>
  <c r="E124" i="8"/>
  <c r="A124" i="8"/>
  <c r="B124" i="7"/>
  <c r="K361" i="2"/>
  <c r="B119" i="6"/>
  <c r="B122" i="9" s="1"/>
  <c r="K123" i="3"/>
  <c r="F123" i="7"/>
  <c r="F124" i="7"/>
  <c r="F125" i="7"/>
  <c r="F126" i="7"/>
  <c r="F127" i="7"/>
  <c r="B123" i="7"/>
  <c r="A123" i="8"/>
  <c r="K358" i="2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B131" i="9"/>
  <c r="B132" i="9"/>
  <c r="B133" i="9"/>
  <c r="B135" i="9"/>
  <c r="B118" i="6"/>
  <c r="B121" i="9" s="1"/>
  <c r="K122" i="3"/>
  <c r="A121" i="8"/>
  <c r="A122" i="8"/>
  <c r="B122" i="7"/>
  <c r="K355" i="2"/>
  <c r="J120" i="9"/>
  <c r="I120" i="9"/>
  <c r="I121" i="9"/>
  <c r="I122" i="9"/>
  <c r="I123" i="9"/>
  <c r="I124" i="9"/>
  <c r="I125" i="9"/>
  <c r="G120" i="9"/>
  <c r="L120" i="9"/>
  <c r="L121" i="9"/>
  <c r="L122" i="9"/>
  <c r="L123" i="9"/>
  <c r="L124" i="9"/>
  <c r="L125" i="9"/>
  <c r="L126" i="9"/>
  <c r="L127" i="9"/>
  <c r="L128" i="9"/>
  <c r="L129" i="9"/>
  <c r="L130" i="9"/>
  <c r="L131" i="9"/>
  <c r="L132" i="9"/>
  <c r="L133" i="9"/>
  <c r="D120" i="9"/>
  <c r="B117" i="6"/>
  <c r="K121" i="3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B121" i="7"/>
  <c r="K349" i="2"/>
  <c r="K352" i="2"/>
  <c r="B126" i="9" l="1"/>
  <c r="G119" i="9"/>
  <c r="J119" i="9"/>
  <c r="K119" i="9"/>
  <c r="H119" i="9"/>
  <c r="D119" i="9"/>
  <c r="E119" i="9"/>
  <c r="K117" i="6"/>
  <c r="K118" i="6"/>
  <c r="K119" i="6"/>
  <c r="K121" i="6"/>
  <c r="J119" i="6"/>
  <c r="Q119" i="6" s="1"/>
  <c r="J121" i="6"/>
  <c r="D117" i="6"/>
  <c r="F117" i="6" s="1"/>
  <c r="D118" i="6"/>
  <c r="F118" i="6" s="1"/>
  <c r="D119" i="6"/>
  <c r="F119" i="6" s="1"/>
  <c r="D121" i="6"/>
  <c r="F121" i="6" s="1"/>
  <c r="D122" i="6"/>
  <c r="F122" i="6" s="1"/>
  <c r="D123" i="6"/>
  <c r="F123" i="6" s="1"/>
  <c r="D124" i="6"/>
  <c r="F124" i="6" s="1"/>
  <c r="D125" i="6"/>
  <c r="F125" i="6" s="1"/>
  <c r="D126" i="6"/>
  <c r="F126" i="6" s="1"/>
  <c r="E116" i="6"/>
  <c r="K120" i="3"/>
  <c r="M120" i="8"/>
  <c r="L120" i="8"/>
  <c r="I120" i="7"/>
  <c r="I121" i="7"/>
  <c r="I122" i="7"/>
  <c r="I123" i="7"/>
  <c r="I124" i="7"/>
  <c r="I125" i="7"/>
  <c r="I126" i="7"/>
  <c r="I127" i="7"/>
  <c r="I128" i="7"/>
  <c r="I129" i="7"/>
  <c r="L120" i="7"/>
  <c r="L122" i="7"/>
  <c r="L123" i="7"/>
  <c r="L125" i="7"/>
  <c r="L127" i="7"/>
  <c r="L129" i="7"/>
  <c r="K120" i="7"/>
  <c r="K121" i="7"/>
  <c r="L121" i="7" s="1"/>
  <c r="K122" i="7"/>
  <c r="J118" i="6" s="1"/>
  <c r="Q118" i="6" s="1"/>
  <c r="K123" i="7"/>
  <c r="K124" i="7"/>
  <c r="J120" i="6" s="1"/>
  <c r="Q120" i="6" s="1"/>
  <c r="K125" i="7"/>
  <c r="K126" i="7"/>
  <c r="J122" i="6" s="1"/>
  <c r="K127" i="7"/>
  <c r="J123" i="6" s="1"/>
  <c r="K128" i="7"/>
  <c r="J124" i="6" s="1"/>
  <c r="K129" i="7"/>
  <c r="J125" i="6" s="1"/>
  <c r="O120" i="7"/>
  <c r="O121" i="7"/>
  <c r="O122" i="7"/>
  <c r="O123" i="7"/>
  <c r="O124" i="7"/>
  <c r="O125" i="7"/>
  <c r="O126" i="7"/>
  <c r="N120" i="7"/>
  <c r="M120" i="7"/>
  <c r="E120" i="7"/>
  <c r="N120" i="8"/>
  <c r="N121" i="8"/>
  <c r="N122" i="8"/>
  <c r="N123" i="8"/>
  <c r="N124" i="8"/>
  <c r="N125" i="8"/>
  <c r="N126" i="8"/>
  <c r="N127" i="8"/>
  <c r="N128" i="8"/>
  <c r="K120" i="8"/>
  <c r="K125" i="8"/>
  <c r="K126" i="8"/>
  <c r="K127" i="8"/>
  <c r="K128" i="8"/>
  <c r="J120" i="8"/>
  <c r="J121" i="8"/>
  <c r="K121" i="8" s="1"/>
  <c r="J122" i="8"/>
  <c r="K122" i="8" s="1"/>
  <c r="J123" i="8"/>
  <c r="K123" i="8" s="1"/>
  <c r="J124" i="8"/>
  <c r="K124" i="8" s="1"/>
  <c r="J125" i="8"/>
  <c r="J126" i="8"/>
  <c r="J127" i="8"/>
  <c r="D120" i="8"/>
  <c r="T120" i="3"/>
  <c r="S120" i="3"/>
  <c r="O121" i="3"/>
  <c r="P121" i="3" s="1"/>
  <c r="O122" i="3"/>
  <c r="P122" i="3" s="1"/>
  <c r="O123" i="3"/>
  <c r="P123" i="3" s="1"/>
  <c r="O125" i="3"/>
  <c r="P125" i="3" s="1"/>
  <c r="O126" i="3"/>
  <c r="P126" i="3" s="1"/>
  <c r="O127" i="3"/>
  <c r="P127" i="3" s="1"/>
  <c r="E120" i="3"/>
  <c r="O120" i="3" s="1"/>
  <c r="P120" i="3" s="1"/>
  <c r="Q125" i="6" l="1"/>
  <c r="R125" i="6" s="1"/>
  <c r="L125" i="6"/>
  <c r="Q124" i="6"/>
  <c r="R124" i="6" s="1"/>
  <c r="L124" i="6"/>
  <c r="L128" i="7"/>
  <c r="Q123" i="6"/>
  <c r="R123" i="6" s="1"/>
  <c r="L123" i="6"/>
  <c r="Q122" i="6"/>
  <c r="R122" i="6" s="1"/>
  <c r="L122" i="6"/>
  <c r="L126" i="7"/>
  <c r="Q121" i="6"/>
  <c r="L121" i="6"/>
  <c r="L124" i="7"/>
  <c r="J117" i="6"/>
  <c r="Q117" i="6" s="1"/>
  <c r="G118" i="9"/>
  <c r="K119" i="3"/>
  <c r="I119" i="7"/>
  <c r="H119" i="8"/>
  <c r="L119" i="7"/>
  <c r="K119" i="8"/>
  <c r="O119" i="7"/>
  <c r="K119" i="7"/>
  <c r="J119" i="8"/>
  <c r="O119" i="3"/>
  <c r="P119" i="3" s="1"/>
  <c r="K346" i="2"/>
  <c r="K118" i="3"/>
  <c r="I118" i="7"/>
  <c r="H118" i="8"/>
  <c r="K118" i="8"/>
  <c r="L118" i="7"/>
  <c r="O118" i="7"/>
  <c r="K118" i="7"/>
  <c r="J118" i="8"/>
  <c r="K340" i="2"/>
  <c r="K343" i="2"/>
  <c r="I115" i="9" l="1"/>
  <c r="I116" i="9"/>
  <c r="I117" i="9"/>
  <c r="I118" i="9"/>
  <c r="I119" i="9"/>
  <c r="L115" i="9"/>
  <c r="L116" i="9"/>
  <c r="L117" i="9"/>
  <c r="L118" i="9"/>
  <c r="L119" i="9"/>
  <c r="F115" i="9"/>
  <c r="P112" i="6"/>
  <c r="R112" i="6" s="1"/>
  <c r="P113" i="6"/>
  <c r="P114" i="6"/>
  <c r="P115" i="6"/>
  <c r="P116" i="6"/>
  <c r="L119" i="6"/>
  <c r="K112" i="6"/>
  <c r="K113" i="6"/>
  <c r="L113" i="6" s="1"/>
  <c r="K115" i="6"/>
  <c r="K116" i="6"/>
  <c r="L118" i="6"/>
  <c r="J112" i="6"/>
  <c r="Q112" i="6" s="1"/>
  <c r="J113" i="6"/>
  <c r="Q113" i="6" s="1"/>
  <c r="J114" i="6"/>
  <c r="Q114" i="6" s="1"/>
  <c r="J115" i="6"/>
  <c r="Q115" i="6" s="1"/>
  <c r="R115" i="6" s="1"/>
  <c r="J116" i="6"/>
  <c r="Q116" i="6" s="1"/>
  <c r="R116" i="6" s="1"/>
  <c r="D112" i="6"/>
  <c r="F112" i="6" s="1"/>
  <c r="D113" i="6"/>
  <c r="F113" i="6" s="1"/>
  <c r="D115" i="6"/>
  <c r="F115" i="6" s="1"/>
  <c r="K116" i="3"/>
  <c r="I116" i="7"/>
  <c r="H116" i="8"/>
  <c r="L116" i="7"/>
  <c r="K116" i="8"/>
  <c r="N116" i="8"/>
  <c r="O116" i="7"/>
  <c r="F116" i="7"/>
  <c r="K116" i="7"/>
  <c r="E116" i="8"/>
  <c r="J116" i="8"/>
  <c r="F116" i="3"/>
  <c r="O116" i="3"/>
  <c r="P116" i="3" s="1"/>
  <c r="L114" i="9"/>
  <c r="K115" i="3"/>
  <c r="I115" i="7"/>
  <c r="H115" i="8"/>
  <c r="L115" i="7"/>
  <c r="K115" i="8"/>
  <c r="N115" i="8"/>
  <c r="O115" i="7"/>
  <c r="F115" i="7"/>
  <c r="K115" i="7"/>
  <c r="E115" i="8"/>
  <c r="J115" i="8"/>
  <c r="F115" i="3"/>
  <c r="O115" i="3"/>
  <c r="P115" i="3" s="1"/>
  <c r="B111" i="6"/>
  <c r="B114" i="9" s="1"/>
  <c r="K337" i="2"/>
  <c r="L113" i="9"/>
  <c r="I113" i="9"/>
  <c r="I114" i="9"/>
  <c r="F112" i="9"/>
  <c r="F113" i="9"/>
  <c r="F114" i="9"/>
  <c r="F116" i="9"/>
  <c r="F117" i="9"/>
  <c r="F118" i="9"/>
  <c r="P110" i="6"/>
  <c r="P111" i="6"/>
  <c r="K111" i="6"/>
  <c r="J110" i="6"/>
  <c r="Q110" i="6" s="1"/>
  <c r="J111" i="6"/>
  <c r="Q111" i="6" s="1"/>
  <c r="R111" i="6" s="1"/>
  <c r="D111" i="6"/>
  <c r="F111" i="6" s="1"/>
  <c r="D116" i="6"/>
  <c r="F116" i="6" s="1"/>
  <c r="K114" i="3"/>
  <c r="I114" i="7"/>
  <c r="H114" i="8"/>
  <c r="L114" i="7"/>
  <c r="K114" i="8"/>
  <c r="N114" i="8"/>
  <c r="O114" i="7"/>
  <c r="F114" i="7"/>
  <c r="K114" i="7"/>
  <c r="E114" i="8"/>
  <c r="J114" i="8"/>
  <c r="F114" i="3"/>
  <c r="K331" i="2"/>
  <c r="D116" i="9"/>
  <c r="G116" i="9"/>
  <c r="J116" i="9"/>
  <c r="F119" i="9"/>
  <c r="F120" i="9"/>
  <c r="B120" i="9"/>
  <c r="K117" i="3"/>
  <c r="I117" i="7"/>
  <c r="H117" i="8"/>
  <c r="O117" i="7"/>
  <c r="F117" i="7"/>
  <c r="F118" i="7"/>
  <c r="F119" i="7"/>
  <c r="F120" i="7"/>
  <c r="F121" i="7"/>
  <c r="F122" i="7"/>
  <c r="E117" i="8"/>
  <c r="E118" i="8"/>
  <c r="E119" i="8"/>
  <c r="E120" i="8"/>
  <c r="E121" i="8"/>
  <c r="E122" i="8"/>
  <c r="E123" i="8"/>
  <c r="J117" i="8"/>
  <c r="K117" i="8" s="1"/>
  <c r="K117" i="7"/>
  <c r="L117" i="7" s="1"/>
  <c r="O117" i="3"/>
  <c r="P117" i="3" s="1"/>
  <c r="R113" i="6" l="1"/>
  <c r="L112" i="6"/>
  <c r="L116" i="6"/>
  <c r="L117" i="6"/>
  <c r="L115" i="6"/>
  <c r="R114" i="6"/>
  <c r="R110" i="6"/>
  <c r="L111" i="6"/>
  <c r="B115" i="7"/>
  <c r="A115" i="8"/>
  <c r="G112" i="9"/>
  <c r="K113" i="3"/>
  <c r="H113" i="8"/>
  <c r="I113" i="7"/>
  <c r="L113" i="7"/>
  <c r="K113" i="8"/>
  <c r="K113" i="7"/>
  <c r="J113" i="8"/>
  <c r="O113" i="3"/>
  <c r="P113" i="3" s="1"/>
  <c r="K328" i="2"/>
  <c r="K334" i="2"/>
  <c r="K112" i="3"/>
  <c r="I112" i="7"/>
  <c r="H112" i="8"/>
  <c r="K112" i="8"/>
  <c r="K112" i="7"/>
  <c r="J112" i="8"/>
  <c r="B109" i="6"/>
  <c r="K325" i="2"/>
  <c r="G110" i="9"/>
  <c r="J110" i="9"/>
  <c r="D110" i="9"/>
  <c r="K111" i="3"/>
  <c r="I111" i="7"/>
  <c r="K111" i="8"/>
  <c r="K111" i="7"/>
  <c r="J111" i="8"/>
  <c r="O111" i="3"/>
  <c r="P111" i="3" s="1"/>
  <c r="B111" i="7"/>
  <c r="K322" i="2"/>
  <c r="K110" i="3"/>
  <c r="I110" i="7"/>
  <c r="K110" i="8"/>
  <c r="O110" i="7"/>
  <c r="O111" i="7"/>
  <c r="O112" i="7"/>
  <c r="O113" i="7"/>
  <c r="N110" i="8"/>
  <c r="N111" i="8"/>
  <c r="N112" i="8"/>
  <c r="N113" i="8"/>
  <c r="N117" i="8"/>
  <c r="N118" i="8"/>
  <c r="N119" i="8"/>
  <c r="F110" i="7"/>
  <c r="F111" i="7"/>
  <c r="F112" i="7"/>
  <c r="F113" i="7"/>
  <c r="K110" i="7"/>
  <c r="J106" i="6" s="1"/>
  <c r="J110" i="8"/>
  <c r="O110" i="3"/>
  <c r="P110" i="3" s="1"/>
  <c r="L109" i="9"/>
  <c r="L110" i="9"/>
  <c r="L111" i="9"/>
  <c r="L112" i="9"/>
  <c r="I108" i="9"/>
  <c r="I109" i="9"/>
  <c r="I110" i="9"/>
  <c r="I111" i="9"/>
  <c r="I112" i="9"/>
  <c r="K106" i="6"/>
  <c r="K107" i="6"/>
  <c r="K109" i="6"/>
  <c r="J105" i="6"/>
  <c r="J107" i="6"/>
  <c r="J108" i="6"/>
  <c r="J109" i="6"/>
  <c r="K109" i="3"/>
  <c r="I109" i="7"/>
  <c r="K109" i="8"/>
  <c r="N109" i="8"/>
  <c r="K109" i="7"/>
  <c r="J109" i="8"/>
  <c r="F109" i="3"/>
  <c r="F110" i="3"/>
  <c r="F111" i="3"/>
  <c r="F112" i="3"/>
  <c r="F113" i="3"/>
  <c r="F117" i="3"/>
  <c r="F118" i="3"/>
  <c r="F119" i="3"/>
  <c r="F120" i="3"/>
  <c r="F121" i="3"/>
  <c r="F122" i="3"/>
  <c r="F123" i="3"/>
  <c r="O109" i="3"/>
  <c r="P109" i="3" s="1"/>
  <c r="K313" i="2"/>
  <c r="K316" i="2"/>
  <c r="K319" i="2"/>
  <c r="G107" i="9"/>
  <c r="J107" i="9"/>
  <c r="D107" i="9"/>
  <c r="K108" i="3"/>
  <c r="I108" i="7"/>
  <c r="N108" i="8"/>
  <c r="L108" i="7"/>
  <c r="L109" i="7"/>
  <c r="L110" i="7"/>
  <c r="L111" i="7"/>
  <c r="L112" i="7"/>
  <c r="K108" i="7"/>
  <c r="J108" i="8"/>
  <c r="O108" i="3"/>
  <c r="P108" i="3" s="1"/>
  <c r="A108" i="8"/>
  <c r="B107" i="6" l="1"/>
  <c r="B110" i="9" s="1"/>
  <c r="B113" i="7"/>
  <c r="B108" i="7"/>
  <c r="B104" i="6"/>
  <c r="B107" i="9" s="1"/>
  <c r="A111" i="8"/>
  <c r="A113" i="8"/>
  <c r="K107" i="3"/>
  <c r="I107" i="7"/>
  <c r="K107" i="7"/>
  <c r="J107" i="8"/>
  <c r="O107" i="3"/>
  <c r="P107" i="3" s="1"/>
  <c r="B103" i="6"/>
  <c r="B106" i="9" s="1"/>
  <c r="B112" i="9"/>
  <c r="K310" i="2"/>
  <c r="G105" i="9"/>
  <c r="J105" i="9"/>
  <c r="D105" i="9"/>
  <c r="K106" i="3"/>
  <c r="I106" i="7"/>
  <c r="J106" i="8"/>
  <c r="T106" i="3"/>
  <c r="O106" i="3"/>
  <c r="P106" i="3" s="1"/>
  <c r="K307" i="2"/>
  <c r="B106" i="7"/>
  <c r="L104" i="9"/>
  <c r="L105" i="9"/>
  <c r="L106" i="9"/>
  <c r="L107" i="9"/>
  <c r="L108" i="9"/>
  <c r="F104" i="9"/>
  <c r="F105" i="9"/>
  <c r="F106" i="9"/>
  <c r="F107" i="9"/>
  <c r="F108" i="9"/>
  <c r="F109" i="9"/>
  <c r="F110" i="9"/>
  <c r="F111" i="9"/>
  <c r="D101" i="6"/>
  <c r="F101" i="6" s="1"/>
  <c r="D102" i="6"/>
  <c r="F102" i="6" s="1"/>
  <c r="D103" i="6"/>
  <c r="F103" i="6" s="1"/>
  <c r="D104" i="6"/>
  <c r="F104" i="6" s="1"/>
  <c r="D105" i="6"/>
  <c r="F105" i="6" s="1"/>
  <c r="D106" i="6"/>
  <c r="F106" i="6" s="1"/>
  <c r="D107" i="6"/>
  <c r="F107" i="6" s="1"/>
  <c r="D109" i="6"/>
  <c r="F109" i="6" s="1"/>
  <c r="L109" i="6"/>
  <c r="Q105" i="6"/>
  <c r="Q106" i="6"/>
  <c r="Q107" i="6"/>
  <c r="Q108" i="6"/>
  <c r="Q109" i="6"/>
  <c r="P101" i="6"/>
  <c r="P102" i="6"/>
  <c r="P103" i="6"/>
  <c r="P104" i="6"/>
  <c r="P105" i="6"/>
  <c r="P106" i="6"/>
  <c r="P107" i="6"/>
  <c r="P108" i="6"/>
  <c r="P109" i="6"/>
  <c r="P117" i="6"/>
  <c r="R117" i="6" s="1"/>
  <c r="P118" i="6"/>
  <c r="R118" i="6" s="1"/>
  <c r="P119" i="6"/>
  <c r="R119" i="6" s="1"/>
  <c r="P120" i="6"/>
  <c r="R120" i="6" s="1"/>
  <c r="P121" i="6"/>
  <c r="R121" i="6" s="1"/>
  <c r="K101" i="6"/>
  <c r="K102" i="6"/>
  <c r="K103" i="6"/>
  <c r="K104" i="6"/>
  <c r="K105" i="6"/>
  <c r="L105" i="6" s="1"/>
  <c r="L106" i="6"/>
  <c r="L107" i="6"/>
  <c r="K105" i="3"/>
  <c r="I105" i="7"/>
  <c r="E105" i="8"/>
  <c r="E106" i="8"/>
  <c r="E107" i="8"/>
  <c r="E108" i="8"/>
  <c r="E109" i="8"/>
  <c r="E110" i="8"/>
  <c r="E111" i="8"/>
  <c r="E112" i="8"/>
  <c r="E113" i="8"/>
  <c r="J105" i="8"/>
  <c r="B101" i="6"/>
  <c r="K304" i="2"/>
  <c r="R105" i="6" l="1"/>
  <c r="R107" i="6"/>
  <c r="B105" i="7"/>
  <c r="A106" i="8"/>
  <c r="B102" i="6"/>
  <c r="B105" i="9" s="1"/>
  <c r="A105" i="8"/>
  <c r="B107" i="7"/>
  <c r="A107" i="8"/>
  <c r="R108" i="6"/>
  <c r="R109" i="6"/>
  <c r="R106" i="6"/>
  <c r="G103" i="9"/>
  <c r="J103" i="9"/>
  <c r="D103" i="9"/>
  <c r="K104" i="3"/>
  <c r="I104" i="7"/>
  <c r="L104" i="7"/>
  <c r="L107" i="7"/>
  <c r="K104" i="7"/>
  <c r="K105" i="7"/>
  <c r="J101" i="6" s="1"/>
  <c r="Q101" i="6" s="1"/>
  <c r="R101" i="6" s="1"/>
  <c r="K106" i="7"/>
  <c r="J102" i="6" s="1"/>
  <c r="K103" i="3"/>
  <c r="I103" i="7"/>
  <c r="K301" i="2"/>
  <c r="G102" i="9"/>
  <c r="J102" i="9"/>
  <c r="K102" i="9"/>
  <c r="H102" i="9"/>
  <c r="D102" i="9"/>
  <c r="E102" i="9"/>
  <c r="E99" i="6"/>
  <c r="T54" i="3"/>
  <c r="T50" i="3"/>
  <c r="T49" i="3"/>
  <c r="T48" i="3"/>
  <c r="T47" i="3"/>
  <c r="T46" i="3"/>
  <c r="T44" i="3"/>
  <c r="T43" i="3"/>
  <c r="T41" i="3"/>
  <c r="T39" i="3"/>
  <c r="T38" i="3"/>
  <c r="S55" i="3"/>
  <c r="S54" i="3"/>
  <c r="S50" i="3"/>
  <c r="S49" i="3"/>
  <c r="S48" i="3"/>
  <c r="S47" i="3"/>
  <c r="S46" i="3"/>
  <c r="S44" i="3"/>
  <c r="S43" i="3"/>
  <c r="S41" i="3"/>
  <c r="S39" i="3"/>
  <c r="S38" i="3"/>
  <c r="E55" i="3"/>
  <c r="E54" i="3"/>
  <c r="E50" i="3"/>
  <c r="E49" i="3"/>
  <c r="E48" i="3"/>
  <c r="E47" i="3"/>
  <c r="E46" i="3"/>
  <c r="E44" i="3"/>
  <c r="E43" i="3"/>
  <c r="E41" i="3"/>
  <c r="E39" i="3"/>
  <c r="E38" i="3"/>
  <c r="M103" i="8"/>
  <c r="L103" i="8"/>
  <c r="N103" i="8" s="1"/>
  <c r="O103" i="7"/>
  <c r="O104" i="7"/>
  <c r="O105" i="7"/>
  <c r="O106" i="7"/>
  <c r="O107" i="7"/>
  <c r="O108" i="7"/>
  <c r="O109" i="7"/>
  <c r="N103" i="7"/>
  <c r="M103" i="7"/>
  <c r="E103" i="7"/>
  <c r="F103" i="7" s="1"/>
  <c r="D103" i="8"/>
  <c r="B104" i="9"/>
  <c r="T103" i="3"/>
  <c r="S103" i="3"/>
  <c r="F103" i="3"/>
  <c r="F104" i="3"/>
  <c r="F105" i="3"/>
  <c r="F106" i="3"/>
  <c r="F107" i="3"/>
  <c r="F108" i="3"/>
  <c r="E103" i="3"/>
  <c r="K295" i="2"/>
  <c r="K298" i="2"/>
  <c r="E101" i="9"/>
  <c r="K102" i="3"/>
  <c r="I102" i="7"/>
  <c r="T102" i="3"/>
  <c r="S102" i="3"/>
  <c r="L100" i="9"/>
  <c r="L101" i="9"/>
  <c r="L103" i="9"/>
  <c r="F101" i="9"/>
  <c r="F102" i="9"/>
  <c r="F103" i="9"/>
  <c r="I100" i="9"/>
  <c r="I101" i="9"/>
  <c r="I102" i="9"/>
  <c r="I103" i="9"/>
  <c r="I104" i="9"/>
  <c r="I105" i="9"/>
  <c r="I106" i="9"/>
  <c r="I107" i="9"/>
  <c r="K101" i="3"/>
  <c r="I101" i="7"/>
  <c r="J101" i="8"/>
  <c r="J102" i="8"/>
  <c r="J103" i="8"/>
  <c r="J104" i="8"/>
  <c r="K104" i="8" s="1"/>
  <c r="K292" i="2"/>
  <c r="G99" i="9"/>
  <c r="J99" i="9"/>
  <c r="K99" i="9"/>
  <c r="H99" i="9"/>
  <c r="F99" i="9"/>
  <c r="F100" i="9"/>
  <c r="D99" i="9"/>
  <c r="E99" i="9"/>
  <c r="J100" i="6"/>
  <c r="Q100" i="6" s="1"/>
  <c r="J103" i="6"/>
  <c r="Q103" i="6" s="1"/>
  <c r="R103" i="6" s="1"/>
  <c r="J104" i="6"/>
  <c r="Q104" i="6" s="1"/>
  <c r="R104" i="6" s="1"/>
  <c r="K98" i="6"/>
  <c r="K100" i="6"/>
  <c r="P96" i="6"/>
  <c r="P97" i="6"/>
  <c r="P98" i="6"/>
  <c r="P99" i="6"/>
  <c r="P100" i="6"/>
  <c r="E96" i="6"/>
  <c r="D98" i="6"/>
  <c r="F98" i="6" s="1"/>
  <c r="D99" i="6"/>
  <c r="D100" i="6"/>
  <c r="F100" i="6" s="1"/>
  <c r="K100" i="3"/>
  <c r="I100" i="7"/>
  <c r="N100" i="7"/>
  <c r="M100" i="7"/>
  <c r="K100" i="8"/>
  <c r="K101" i="8"/>
  <c r="K102" i="8"/>
  <c r="K103" i="8"/>
  <c r="K105" i="8"/>
  <c r="K106" i="8"/>
  <c r="K107" i="8"/>
  <c r="K108" i="8"/>
  <c r="N100" i="8"/>
  <c r="N101" i="8"/>
  <c r="N102" i="8"/>
  <c r="N104" i="8"/>
  <c r="N105" i="8"/>
  <c r="N106" i="8"/>
  <c r="N107" i="8"/>
  <c r="M100" i="8"/>
  <c r="L100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F100" i="7"/>
  <c r="F101" i="7"/>
  <c r="F102" i="7"/>
  <c r="F104" i="7"/>
  <c r="F105" i="7"/>
  <c r="F106" i="7"/>
  <c r="F107" i="7"/>
  <c r="F108" i="7"/>
  <c r="F109" i="7"/>
  <c r="F99" i="7"/>
  <c r="E100" i="7"/>
  <c r="D100" i="8"/>
  <c r="E100" i="8"/>
  <c r="E101" i="8"/>
  <c r="E102" i="8"/>
  <c r="E103" i="8"/>
  <c r="E104" i="8"/>
  <c r="T100" i="3"/>
  <c r="S100" i="3"/>
  <c r="E100" i="3"/>
  <c r="D96" i="6" s="1"/>
  <c r="B100" i="7"/>
  <c r="K289" i="2"/>
  <c r="D98" i="9"/>
  <c r="G98" i="9"/>
  <c r="J98" i="9"/>
  <c r="K98" i="9"/>
  <c r="H98" i="9"/>
  <c r="E98" i="9"/>
  <c r="E95" i="6"/>
  <c r="I99" i="7"/>
  <c r="K99" i="3"/>
  <c r="N99" i="7"/>
  <c r="M99" i="7"/>
  <c r="M99" i="8"/>
  <c r="L99" i="8"/>
  <c r="D99" i="8"/>
  <c r="E99" i="7"/>
  <c r="T99" i="3"/>
  <c r="S99" i="3"/>
  <c r="E99" i="3"/>
  <c r="K286" i="2"/>
  <c r="K99" i="6" l="1"/>
  <c r="O124" i="3"/>
  <c r="P124" i="3" s="1"/>
  <c r="K120" i="6"/>
  <c r="L120" i="6" s="1"/>
  <c r="D120" i="6"/>
  <c r="F120" i="6" s="1"/>
  <c r="K110" i="6"/>
  <c r="L110" i="6" s="1"/>
  <c r="D110" i="6"/>
  <c r="F110" i="6" s="1"/>
  <c r="O114" i="3"/>
  <c r="P114" i="3" s="1"/>
  <c r="K138" i="6"/>
  <c r="L138" i="6" s="1"/>
  <c r="O142" i="3"/>
  <c r="P142" i="3" s="1"/>
  <c r="D138" i="6"/>
  <c r="F138" i="6" s="1"/>
  <c r="O138" i="3"/>
  <c r="P138" i="3" s="1"/>
  <c r="K134" i="6"/>
  <c r="L134" i="6" s="1"/>
  <c r="D134" i="6"/>
  <c r="F134" i="6" s="1"/>
  <c r="B101" i="7"/>
  <c r="A100" i="8"/>
  <c r="B96" i="6"/>
  <c r="B99" i="9" s="1"/>
  <c r="L101" i="6"/>
  <c r="L104" i="6"/>
  <c r="L103" i="6"/>
  <c r="Q102" i="6"/>
  <c r="R102" i="6" s="1"/>
  <c r="L102" i="6"/>
  <c r="L106" i="7"/>
  <c r="L105" i="7"/>
  <c r="L100" i="6"/>
  <c r="R100" i="6"/>
  <c r="L102" i="9"/>
  <c r="F99" i="6"/>
  <c r="J97" i="9"/>
  <c r="L97" i="9" s="1"/>
  <c r="G97" i="9"/>
  <c r="L98" i="9"/>
  <c r="L99" i="9"/>
  <c r="K97" i="9"/>
  <c r="H97" i="9"/>
  <c r="D97" i="9"/>
  <c r="E97" i="9"/>
  <c r="E94" i="6"/>
  <c r="K98" i="3"/>
  <c r="I98" i="7"/>
  <c r="H98" i="8"/>
  <c r="I98" i="8"/>
  <c r="J98" i="7"/>
  <c r="L98" i="7" s="1"/>
  <c r="L99" i="7"/>
  <c r="L100" i="7"/>
  <c r="L101" i="7"/>
  <c r="L103" i="7"/>
  <c r="K98" i="7"/>
  <c r="K99" i="7"/>
  <c r="K100" i="7"/>
  <c r="K101" i="7"/>
  <c r="J97" i="6" s="1"/>
  <c r="K102" i="7"/>
  <c r="J98" i="6" s="1"/>
  <c r="Q98" i="6" s="1"/>
  <c r="R98" i="6" s="1"/>
  <c r="K103" i="7"/>
  <c r="J99" i="6" s="1"/>
  <c r="Q99" i="6" s="1"/>
  <c r="R99" i="6" s="1"/>
  <c r="N98" i="7"/>
  <c r="O98" i="7" s="1"/>
  <c r="M98" i="7"/>
  <c r="M98" i="8"/>
  <c r="L98" i="8"/>
  <c r="D98" i="8"/>
  <c r="E98" i="7"/>
  <c r="N98" i="3"/>
  <c r="O99" i="3"/>
  <c r="P99" i="3" s="1"/>
  <c r="O100" i="3"/>
  <c r="P100" i="3" s="1"/>
  <c r="O102" i="3"/>
  <c r="P102" i="3" s="1"/>
  <c r="O103" i="3"/>
  <c r="P103" i="3" s="1"/>
  <c r="O104" i="3"/>
  <c r="P104" i="3" s="1"/>
  <c r="O105" i="3"/>
  <c r="P105" i="3" s="1"/>
  <c r="T98" i="3"/>
  <c r="S98" i="3"/>
  <c r="E98" i="3"/>
  <c r="D94" i="6" s="1"/>
  <c r="K280" i="2"/>
  <c r="K283" i="2"/>
  <c r="J96" i="9"/>
  <c r="D96" i="9"/>
  <c r="F96" i="9" s="1"/>
  <c r="K97" i="3"/>
  <c r="I97" i="7"/>
  <c r="H97" i="8"/>
  <c r="O97" i="7"/>
  <c r="O99" i="7"/>
  <c r="O100" i="7"/>
  <c r="O101" i="7"/>
  <c r="O102" i="7"/>
  <c r="B97" i="3"/>
  <c r="G95" i="9"/>
  <c r="J95" i="9"/>
  <c r="K95" i="9"/>
  <c r="H95" i="9"/>
  <c r="I96" i="9"/>
  <c r="I97" i="9"/>
  <c r="I98" i="9"/>
  <c r="I99" i="9"/>
  <c r="F95" i="9"/>
  <c r="F97" i="9"/>
  <c r="F98" i="9"/>
  <c r="D95" i="9"/>
  <c r="E95" i="9"/>
  <c r="E92" i="6"/>
  <c r="K96" i="3"/>
  <c r="I96" i="7"/>
  <c r="H96" i="8"/>
  <c r="M96" i="8"/>
  <c r="N96" i="8" s="1"/>
  <c r="L96" i="8"/>
  <c r="N96" i="7"/>
  <c r="M96" i="7"/>
  <c r="F96" i="7"/>
  <c r="F97" i="7"/>
  <c r="F98" i="7"/>
  <c r="E96" i="7"/>
  <c r="D96" i="8"/>
  <c r="T96" i="3"/>
  <c r="S96" i="3"/>
  <c r="F97" i="3"/>
  <c r="F99" i="3"/>
  <c r="F100" i="3"/>
  <c r="F101" i="3"/>
  <c r="F102" i="3"/>
  <c r="E96" i="3"/>
  <c r="F96" i="3" s="1"/>
  <c r="B96" i="3"/>
  <c r="K277" i="2"/>
  <c r="K274" i="2"/>
  <c r="K92" i="6"/>
  <c r="K93" i="6"/>
  <c r="K95" i="6"/>
  <c r="K96" i="6"/>
  <c r="J94" i="6"/>
  <c r="Q94" i="6" s="1"/>
  <c r="J95" i="6"/>
  <c r="Q95" i="6" s="1"/>
  <c r="J96" i="6"/>
  <c r="Q96" i="6" s="1"/>
  <c r="R96" i="6" s="1"/>
  <c r="P92" i="6"/>
  <c r="P93" i="6"/>
  <c r="P94" i="6"/>
  <c r="P95" i="6"/>
  <c r="F96" i="6"/>
  <c r="K95" i="3"/>
  <c r="I95" i="7"/>
  <c r="H95" i="8"/>
  <c r="E95" i="8"/>
  <c r="E96" i="8"/>
  <c r="E97" i="8"/>
  <c r="E98" i="8"/>
  <c r="E99" i="8"/>
  <c r="B95" i="3"/>
  <c r="B91" i="6" s="1"/>
  <c r="B94" i="9" s="1"/>
  <c r="K93" i="9"/>
  <c r="K94" i="3"/>
  <c r="I94" i="7"/>
  <c r="H94" i="8"/>
  <c r="I94" i="8"/>
  <c r="N94" i="8"/>
  <c r="N95" i="8"/>
  <c r="N97" i="8"/>
  <c r="N98" i="8"/>
  <c r="N99" i="8"/>
  <c r="M94" i="8"/>
  <c r="L94" i="8"/>
  <c r="J94" i="8"/>
  <c r="J95" i="8"/>
  <c r="J96" i="8"/>
  <c r="J97" i="8"/>
  <c r="J98" i="8"/>
  <c r="J99" i="8"/>
  <c r="J100" i="8"/>
  <c r="N94" i="7"/>
  <c r="M94" i="7"/>
  <c r="E94" i="7"/>
  <c r="D94" i="8"/>
  <c r="C94" i="8"/>
  <c r="D94" i="7"/>
  <c r="T94" i="3"/>
  <c r="S94" i="3"/>
  <c r="E94" i="3"/>
  <c r="K90" i="6" s="1"/>
  <c r="D94" i="3"/>
  <c r="B94" i="3"/>
  <c r="K271" i="2"/>
  <c r="J92" i="9"/>
  <c r="G92" i="9"/>
  <c r="K92" i="9"/>
  <c r="H92" i="9"/>
  <c r="D92" i="9"/>
  <c r="E92" i="9"/>
  <c r="D93" i="6"/>
  <c r="F93" i="6" s="1"/>
  <c r="D95" i="6"/>
  <c r="F95" i="6" s="1"/>
  <c r="J89" i="6"/>
  <c r="Q89" i="6" s="1"/>
  <c r="E89" i="6"/>
  <c r="K93" i="3"/>
  <c r="I93" i="7"/>
  <c r="H93" i="8"/>
  <c r="M93" i="8"/>
  <c r="L93" i="8"/>
  <c r="N93" i="7"/>
  <c r="M93" i="7"/>
  <c r="E93" i="7"/>
  <c r="D93" i="8"/>
  <c r="O97" i="3"/>
  <c r="P97" i="3" s="1"/>
  <c r="T93" i="3"/>
  <c r="S93" i="3"/>
  <c r="E93" i="3"/>
  <c r="O101" i="3" s="1"/>
  <c r="P101" i="3" s="1"/>
  <c r="B93" i="3"/>
  <c r="B97" i="6" s="1"/>
  <c r="B100" i="9" s="1"/>
  <c r="K268" i="2"/>
  <c r="D91" i="6" l="1"/>
  <c r="F91" i="6" s="1"/>
  <c r="B131" i="6"/>
  <c r="B134" i="9" s="1"/>
  <c r="B135" i="7"/>
  <c r="A135" i="8"/>
  <c r="A93" i="8"/>
  <c r="A101" i="8"/>
  <c r="O93" i="3"/>
  <c r="P93" i="3" s="1"/>
  <c r="K97" i="6"/>
  <c r="D97" i="6"/>
  <c r="F97" i="6" s="1"/>
  <c r="O95" i="3"/>
  <c r="P95" i="3" s="1"/>
  <c r="K91" i="6"/>
  <c r="O96" i="3"/>
  <c r="P96" i="3" s="1"/>
  <c r="D92" i="6"/>
  <c r="F92" i="6" s="1"/>
  <c r="K89" i="6"/>
  <c r="L89" i="6" s="1"/>
  <c r="F98" i="3"/>
  <c r="O98" i="3"/>
  <c r="P98" i="3" s="1"/>
  <c r="O94" i="3"/>
  <c r="P94" i="3" s="1"/>
  <c r="D90" i="6"/>
  <c r="F94" i="6"/>
  <c r="B95" i="7"/>
  <c r="B93" i="7"/>
  <c r="B89" i="6"/>
  <c r="B92" i="9" s="1"/>
  <c r="A95" i="8"/>
  <c r="B95" i="6"/>
  <c r="B98" i="9" s="1"/>
  <c r="B99" i="7"/>
  <c r="A99" i="8"/>
  <c r="L96" i="6"/>
  <c r="R95" i="6"/>
  <c r="R94" i="6"/>
  <c r="L99" i="6"/>
  <c r="L102" i="7"/>
  <c r="L98" i="6"/>
  <c r="L97" i="6"/>
  <c r="Q97" i="6"/>
  <c r="R97" i="6" s="1"/>
  <c r="K94" i="6"/>
  <c r="L94" i="6" s="1"/>
  <c r="L95" i="6"/>
  <c r="L91" i="9"/>
  <c r="L92" i="9"/>
  <c r="L93" i="9"/>
  <c r="L94" i="9"/>
  <c r="L95" i="9"/>
  <c r="L96" i="9"/>
  <c r="I91" i="9"/>
  <c r="I92" i="9"/>
  <c r="I93" i="9"/>
  <c r="I94" i="9"/>
  <c r="I95" i="9"/>
  <c r="G91" i="9"/>
  <c r="J91" i="9"/>
  <c r="D91" i="9"/>
  <c r="K92" i="3"/>
  <c r="I92" i="7"/>
  <c r="H92" i="8"/>
  <c r="L90" i="7"/>
  <c r="L91" i="7"/>
  <c r="L92" i="7"/>
  <c r="L94" i="7"/>
  <c r="L97" i="7"/>
  <c r="K92" i="7"/>
  <c r="K93" i="7"/>
  <c r="L93" i="7" s="1"/>
  <c r="K94" i="7"/>
  <c r="J90" i="6" s="1"/>
  <c r="Q90" i="6" s="1"/>
  <c r="K95" i="7"/>
  <c r="J91" i="6" s="1"/>
  <c r="Q91" i="6" s="1"/>
  <c r="K96" i="7"/>
  <c r="J92" i="6" s="1"/>
  <c r="K97" i="7"/>
  <c r="J93" i="6" s="1"/>
  <c r="B92" i="3"/>
  <c r="K265" i="2"/>
  <c r="K90" i="8"/>
  <c r="K91" i="8"/>
  <c r="K94" i="8"/>
  <c r="K95" i="8"/>
  <c r="K96" i="8"/>
  <c r="K97" i="8"/>
  <c r="K98" i="8"/>
  <c r="K99" i="8"/>
  <c r="A119" i="8" l="1"/>
  <c r="B119" i="7"/>
  <c r="B115" i="6"/>
  <c r="B118" i="9" s="1"/>
  <c r="Q93" i="6"/>
  <c r="R93" i="6" s="1"/>
  <c r="L93" i="6"/>
  <c r="Q92" i="6"/>
  <c r="R92" i="6" s="1"/>
  <c r="L92" i="6"/>
  <c r="L96" i="7"/>
  <c r="L95" i="7"/>
  <c r="L91" i="6"/>
  <c r="L90" i="6"/>
  <c r="H90" i="9"/>
  <c r="K90" i="9"/>
  <c r="L90" i="9" s="1"/>
  <c r="J90" i="9"/>
  <c r="G90" i="9"/>
  <c r="D90" i="9"/>
  <c r="E90" i="9"/>
  <c r="E87" i="6"/>
  <c r="D88" i="6"/>
  <c r="F88" i="6" s="1"/>
  <c r="D89" i="6"/>
  <c r="F89" i="6" s="1"/>
  <c r="F90" i="6"/>
  <c r="K91" i="3"/>
  <c r="I91" i="7"/>
  <c r="H91" i="8"/>
  <c r="J91" i="7"/>
  <c r="I91" i="8"/>
  <c r="M91" i="8"/>
  <c r="N91" i="7"/>
  <c r="L91" i="8"/>
  <c r="M91" i="7"/>
  <c r="O92" i="7"/>
  <c r="O93" i="7"/>
  <c r="O94" i="7"/>
  <c r="O95" i="7"/>
  <c r="O96" i="7"/>
  <c r="O91" i="7"/>
  <c r="F91" i="7"/>
  <c r="F92" i="7"/>
  <c r="F93" i="7"/>
  <c r="F94" i="7"/>
  <c r="F95" i="7"/>
  <c r="E91" i="7"/>
  <c r="D91" i="8"/>
  <c r="N91" i="3"/>
  <c r="T91" i="3"/>
  <c r="S91" i="3"/>
  <c r="F92" i="3"/>
  <c r="F93" i="3"/>
  <c r="F94" i="3"/>
  <c r="F95" i="3"/>
  <c r="E91" i="3"/>
  <c r="D87" i="6" s="1"/>
  <c r="F87" i="6" s="1"/>
  <c r="B91" i="3"/>
  <c r="K262" i="2"/>
  <c r="G89" i="9"/>
  <c r="J89" i="9"/>
  <c r="K89" i="9"/>
  <c r="H89" i="9"/>
  <c r="F89" i="9"/>
  <c r="F90" i="9"/>
  <c r="F91" i="9"/>
  <c r="F92" i="9"/>
  <c r="F93" i="9"/>
  <c r="F94" i="9"/>
  <c r="D89" i="9"/>
  <c r="E89" i="9"/>
  <c r="E86" i="6"/>
  <c r="K90" i="3"/>
  <c r="I90" i="7"/>
  <c r="H90" i="8"/>
  <c r="M90" i="8"/>
  <c r="L90" i="8"/>
  <c r="N90" i="7"/>
  <c r="M90" i="7"/>
  <c r="E90" i="7"/>
  <c r="D90" i="8"/>
  <c r="T90" i="3"/>
  <c r="S90" i="3"/>
  <c r="E90" i="3"/>
  <c r="B90" i="3"/>
  <c r="K259" i="2"/>
  <c r="K256" i="2"/>
  <c r="F88" i="9"/>
  <c r="K89" i="3"/>
  <c r="I89" i="7"/>
  <c r="H89" i="8"/>
  <c r="L89" i="7"/>
  <c r="K89" i="8"/>
  <c r="B89" i="3"/>
  <c r="K88" i="3"/>
  <c r="I88" i="7"/>
  <c r="H88" i="8"/>
  <c r="L88" i="7"/>
  <c r="K88" i="8"/>
  <c r="B88" i="3"/>
  <c r="K253" i="2"/>
  <c r="K87" i="3"/>
  <c r="I87" i="7"/>
  <c r="H87" i="8"/>
  <c r="K87" i="8"/>
  <c r="L87" i="7"/>
  <c r="B87" i="3"/>
  <c r="K250" i="2"/>
  <c r="K247" i="2"/>
  <c r="K244" i="2"/>
  <c r="B93" i="6" l="1"/>
  <c r="B96" i="9" s="1"/>
  <c r="A97" i="8"/>
  <c r="B97" i="7"/>
  <c r="B87" i="7"/>
  <c r="B110" i="7"/>
  <c r="B106" i="6"/>
  <c r="B109" i="9" s="1"/>
  <c r="A110" i="8"/>
  <c r="B88" i="7"/>
  <c r="A102" i="8"/>
  <c r="B102" i="7"/>
  <c r="B98" i="6"/>
  <c r="B101" i="9" s="1"/>
  <c r="F91" i="3"/>
  <c r="A88" i="8"/>
  <c r="B83" i="6"/>
  <c r="A87" i="8"/>
  <c r="B84" i="6"/>
  <c r="K91" i="7"/>
  <c r="L86" i="9"/>
  <c r="L87" i="9"/>
  <c r="L88" i="9"/>
  <c r="L89" i="9"/>
  <c r="J85" i="9"/>
  <c r="G85" i="9"/>
  <c r="K85" i="9"/>
  <c r="H85" i="9"/>
  <c r="I86" i="9"/>
  <c r="I87" i="9"/>
  <c r="I88" i="9"/>
  <c r="I89" i="9"/>
  <c r="I90" i="9"/>
  <c r="F85" i="9"/>
  <c r="F86" i="9"/>
  <c r="F87" i="9"/>
  <c r="D85" i="9"/>
  <c r="E85" i="9"/>
  <c r="E82" i="6"/>
  <c r="K86" i="3"/>
  <c r="I86" i="7"/>
  <c r="H86" i="8"/>
  <c r="L86" i="7"/>
  <c r="K86" i="8"/>
  <c r="J86" i="8"/>
  <c r="J87" i="8"/>
  <c r="J88" i="8"/>
  <c r="J89" i="8"/>
  <c r="J90" i="8"/>
  <c r="J91" i="8"/>
  <c r="J92" i="8"/>
  <c r="K92" i="8" s="1"/>
  <c r="J93" i="8"/>
  <c r="K93" i="8" s="1"/>
  <c r="N86" i="8"/>
  <c r="N87" i="8"/>
  <c r="N88" i="8"/>
  <c r="N89" i="8"/>
  <c r="N90" i="8"/>
  <c r="N91" i="8"/>
  <c r="N92" i="8"/>
  <c r="N93" i="8"/>
  <c r="M86" i="8"/>
  <c r="L86" i="8"/>
  <c r="K86" i="7"/>
  <c r="K87" i="7"/>
  <c r="K88" i="7"/>
  <c r="K89" i="7"/>
  <c r="K90" i="7"/>
  <c r="O86" i="7"/>
  <c r="O87" i="7"/>
  <c r="O88" i="7"/>
  <c r="O89" i="7"/>
  <c r="O90" i="7"/>
  <c r="N86" i="7"/>
  <c r="M86" i="7"/>
  <c r="E86" i="7"/>
  <c r="D86" i="8"/>
  <c r="E86" i="8" s="1"/>
  <c r="O87" i="3"/>
  <c r="P87" i="3" s="1"/>
  <c r="O88" i="3"/>
  <c r="P88" i="3" s="1"/>
  <c r="O89" i="3"/>
  <c r="P89" i="3" s="1"/>
  <c r="O90" i="3"/>
  <c r="P90" i="3" s="1"/>
  <c r="O91" i="3"/>
  <c r="P91" i="3" s="1"/>
  <c r="O92" i="3"/>
  <c r="P92" i="3" s="1"/>
  <c r="T86" i="3"/>
  <c r="S86" i="3"/>
  <c r="E86" i="3"/>
  <c r="O86" i="3" s="1"/>
  <c r="P86" i="3" s="1"/>
  <c r="B86" i="3"/>
  <c r="K85" i="3"/>
  <c r="I85" i="7"/>
  <c r="E85" i="8"/>
  <c r="E87" i="8"/>
  <c r="E88" i="8"/>
  <c r="E89" i="8"/>
  <c r="E90" i="8"/>
  <c r="E91" i="8"/>
  <c r="E92" i="8"/>
  <c r="E93" i="8"/>
  <c r="E94" i="8"/>
  <c r="H85" i="8"/>
  <c r="L85" i="7"/>
  <c r="K85" i="8"/>
  <c r="O85" i="7"/>
  <c r="J85" i="8"/>
  <c r="K85" i="7"/>
  <c r="F87" i="3"/>
  <c r="F88" i="3"/>
  <c r="F89" i="3"/>
  <c r="F90" i="3"/>
  <c r="O85" i="3"/>
  <c r="P85" i="3" s="1"/>
  <c r="B85" i="3"/>
  <c r="A85" i="8" s="1"/>
  <c r="F86" i="3" l="1"/>
  <c r="B81" i="6"/>
  <c r="B85" i="7"/>
  <c r="I85" i="9"/>
  <c r="J81" i="6"/>
  <c r="J82" i="6"/>
  <c r="J83" i="6"/>
  <c r="Q83" i="6" s="1"/>
  <c r="J84" i="6"/>
  <c r="J85" i="6"/>
  <c r="Q85" i="6" s="1"/>
  <c r="J86" i="6"/>
  <c r="Q86" i="6" s="1"/>
  <c r="J87" i="6"/>
  <c r="Q87" i="6" s="1"/>
  <c r="J88" i="6"/>
  <c r="K81" i="6"/>
  <c r="K82" i="6"/>
  <c r="L82" i="6" s="1"/>
  <c r="K83" i="6"/>
  <c r="L83" i="6" s="1"/>
  <c r="K84" i="6"/>
  <c r="K85" i="6"/>
  <c r="L85" i="6" s="1"/>
  <c r="K86" i="6"/>
  <c r="K87" i="6"/>
  <c r="K88" i="6"/>
  <c r="L88" i="6" s="1"/>
  <c r="L81" i="6"/>
  <c r="Q81" i="6"/>
  <c r="Q82" i="6"/>
  <c r="Q88" i="6"/>
  <c r="P80" i="6"/>
  <c r="P81" i="6"/>
  <c r="P82" i="6"/>
  <c r="P83" i="6"/>
  <c r="P84" i="6"/>
  <c r="P85" i="6"/>
  <c r="P86" i="6"/>
  <c r="P87" i="6"/>
  <c r="P88" i="6"/>
  <c r="R88" i="6" s="1"/>
  <c r="P89" i="6"/>
  <c r="R89" i="6" s="1"/>
  <c r="P90" i="6"/>
  <c r="R90" i="6" s="1"/>
  <c r="P91" i="6"/>
  <c r="R91" i="6" s="1"/>
  <c r="K80" i="6"/>
  <c r="K84" i="3"/>
  <c r="I84" i="7"/>
  <c r="H84" i="8"/>
  <c r="L84" i="7"/>
  <c r="K84" i="8"/>
  <c r="O84" i="7"/>
  <c r="K84" i="7"/>
  <c r="J84" i="8"/>
  <c r="O84" i="3"/>
  <c r="P84" i="3" s="1"/>
  <c r="B84" i="3"/>
  <c r="B80" i="6" s="1"/>
  <c r="B83" i="9" s="1"/>
  <c r="K241" i="2"/>
  <c r="K83" i="3"/>
  <c r="I83" i="7"/>
  <c r="H83" i="8"/>
  <c r="K83" i="8"/>
  <c r="K82" i="8"/>
  <c r="J83" i="8"/>
  <c r="L83" i="7"/>
  <c r="O83" i="7"/>
  <c r="O83" i="3"/>
  <c r="P83" i="3" s="1"/>
  <c r="B83" i="3"/>
  <c r="A83" i="8" s="1"/>
  <c r="K238" i="2"/>
  <c r="D78" i="6"/>
  <c r="D79" i="6"/>
  <c r="D80" i="6"/>
  <c r="D81" i="6"/>
  <c r="D82" i="6"/>
  <c r="D83" i="6"/>
  <c r="D84" i="6"/>
  <c r="D85" i="6"/>
  <c r="F85" i="6" s="1"/>
  <c r="D86" i="6"/>
  <c r="F86" i="6" s="1"/>
  <c r="K82" i="3"/>
  <c r="I82" i="7"/>
  <c r="H82" i="8"/>
  <c r="F82" i="7"/>
  <c r="F83" i="7"/>
  <c r="F84" i="7"/>
  <c r="F85" i="7"/>
  <c r="F86" i="7"/>
  <c r="F87" i="7"/>
  <c r="F88" i="7"/>
  <c r="F89" i="7"/>
  <c r="F90" i="7"/>
  <c r="L82" i="7"/>
  <c r="O82" i="7"/>
  <c r="J82" i="8"/>
  <c r="O82" i="3"/>
  <c r="P82" i="3" s="1"/>
  <c r="B82" i="3"/>
  <c r="K235" i="2"/>
  <c r="B78" i="6" l="1"/>
  <c r="B137" i="7"/>
  <c r="B133" i="6"/>
  <c r="B136" i="9" s="1"/>
  <c r="A137" i="8"/>
  <c r="A82" i="8"/>
  <c r="B84" i="7"/>
  <c r="B82" i="7"/>
  <c r="B83" i="7"/>
  <c r="A84" i="8"/>
  <c r="B79" i="6"/>
  <c r="B82" i="9" s="1"/>
  <c r="R81" i="6"/>
  <c r="L87" i="6"/>
  <c r="R86" i="6"/>
  <c r="R87" i="6"/>
  <c r="L86" i="6"/>
  <c r="R85" i="6"/>
  <c r="R83" i="6"/>
  <c r="L84" i="6"/>
  <c r="Q84" i="6"/>
  <c r="R84" i="6" s="1"/>
  <c r="R82" i="6"/>
  <c r="B84" i="9"/>
  <c r="K81" i="3"/>
  <c r="I81" i="7"/>
  <c r="H81" i="8"/>
  <c r="K81" i="8"/>
  <c r="O81" i="7"/>
  <c r="O81" i="3"/>
  <c r="P81" i="3" s="1"/>
  <c r="B81" i="3"/>
  <c r="K232" i="2"/>
  <c r="K229" i="2"/>
  <c r="F78" i="6"/>
  <c r="F79" i="6"/>
  <c r="F80" i="6"/>
  <c r="K80" i="3"/>
  <c r="I80" i="7"/>
  <c r="H80" i="8"/>
  <c r="O80" i="7"/>
  <c r="C80" i="3"/>
  <c r="B80" i="8" s="1"/>
  <c r="C79" i="3"/>
  <c r="C78" i="3"/>
  <c r="B78" i="8" s="1"/>
  <c r="C77" i="3"/>
  <c r="B77" i="8" s="1"/>
  <c r="C76" i="3"/>
  <c r="B75" i="3"/>
  <c r="C75" i="3"/>
  <c r="B75" i="8" s="1"/>
  <c r="C74" i="3"/>
  <c r="B96" i="8" s="1"/>
  <c r="C73" i="3"/>
  <c r="B73" i="3"/>
  <c r="B74" i="3"/>
  <c r="B76" i="3"/>
  <c r="B77" i="3"/>
  <c r="B78" i="3"/>
  <c r="B79" i="3"/>
  <c r="B80" i="3"/>
  <c r="C72" i="3"/>
  <c r="F81" i="6"/>
  <c r="F82" i="6"/>
  <c r="F83" i="6"/>
  <c r="F84" i="6"/>
  <c r="F79" i="9"/>
  <c r="F80" i="9"/>
  <c r="F81" i="9"/>
  <c r="F82" i="9"/>
  <c r="F83" i="9"/>
  <c r="F84" i="9"/>
  <c r="I79" i="9"/>
  <c r="I80" i="9"/>
  <c r="I81" i="9"/>
  <c r="I82" i="9"/>
  <c r="I83" i="9"/>
  <c r="I84" i="9"/>
  <c r="L78" i="9"/>
  <c r="L79" i="9"/>
  <c r="L80" i="9"/>
  <c r="L81" i="9"/>
  <c r="L82" i="9"/>
  <c r="L83" i="9"/>
  <c r="L84" i="9"/>
  <c r="L85" i="9"/>
  <c r="B114" i="6" l="1"/>
  <c r="B117" i="9" s="1"/>
  <c r="A118" i="8"/>
  <c r="B118" i="7"/>
  <c r="B94" i="8"/>
  <c r="B94" i="7"/>
  <c r="B90" i="6"/>
  <c r="B93" i="9" s="1"/>
  <c r="A94" i="8"/>
  <c r="B92" i="6"/>
  <c r="B95" i="9" s="1"/>
  <c r="B96" i="7"/>
  <c r="A96" i="8"/>
  <c r="B77" i="6"/>
  <c r="B90" i="7"/>
  <c r="B86" i="6"/>
  <c r="B89" i="9" s="1"/>
  <c r="A90" i="8"/>
  <c r="B76" i="6"/>
  <c r="A130" i="8"/>
  <c r="B126" i="6"/>
  <c r="B129" i="9" s="1"/>
  <c r="B130" i="7"/>
  <c r="B81" i="7"/>
  <c r="A81" i="8"/>
  <c r="A80" i="8"/>
  <c r="B80" i="7"/>
  <c r="B81" i="9"/>
  <c r="P76" i="6"/>
  <c r="P77" i="6"/>
  <c r="P78" i="6"/>
  <c r="P79" i="6"/>
  <c r="K75" i="6"/>
  <c r="K76" i="6"/>
  <c r="K77" i="6"/>
  <c r="K78" i="6"/>
  <c r="K79" i="6"/>
  <c r="J75" i="6"/>
  <c r="J79" i="6"/>
  <c r="J80" i="6"/>
  <c r="L80" i="6" s="1"/>
  <c r="I79" i="7"/>
  <c r="H79" i="8"/>
  <c r="N79" i="8"/>
  <c r="N80" i="8"/>
  <c r="N81" i="8"/>
  <c r="N82" i="8"/>
  <c r="N83" i="8"/>
  <c r="N84" i="8"/>
  <c r="N85" i="8"/>
  <c r="F79" i="3"/>
  <c r="F80" i="3"/>
  <c r="F81" i="3"/>
  <c r="F82" i="3"/>
  <c r="F83" i="3"/>
  <c r="F84" i="3"/>
  <c r="F85" i="3"/>
  <c r="K226" i="2"/>
  <c r="G77" i="9"/>
  <c r="J77" i="9"/>
  <c r="K77" i="9"/>
  <c r="H77" i="9"/>
  <c r="E77" i="9"/>
  <c r="E74" i="6"/>
  <c r="B74" i="6"/>
  <c r="B77" i="9" s="1"/>
  <c r="I78" i="7"/>
  <c r="H78" i="8"/>
  <c r="L78" i="7"/>
  <c r="L79" i="7"/>
  <c r="J78" i="7"/>
  <c r="I78" i="8"/>
  <c r="M78" i="8"/>
  <c r="L78" i="8"/>
  <c r="N78" i="7"/>
  <c r="M78" i="7"/>
  <c r="E78" i="7"/>
  <c r="J77" i="8"/>
  <c r="J78" i="8"/>
  <c r="J79" i="8"/>
  <c r="J80" i="8"/>
  <c r="J81" i="8"/>
  <c r="D78" i="8"/>
  <c r="A78" i="8"/>
  <c r="B78" i="7"/>
  <c r="N78" i="3"/>
  <c r="T78" i="3"/>
  <c r="S78" i="3"/>
  <c r="E78" i="3"/>
  <c r="O78" i="3" s="1"/>
  <c r="P78" i="3" s="1"/>
  <c r="K223" i="2"/>
  <c r="B73" i="6"/>
  <c r="I77" i="7"/>
  <c r="L77" i="7"/>
  <c r="A77" i="8"/>
  <c r="B77" i="7"/>
  <c r="K220" i="2"/>
  <c r="G75" i="9"/>
  <c r="J75" i="9"/>
  <c r="K75" i="9"/>
  <c r="L75" i="9" s="1"/>
  <c r="H75" i="9"/>
  <c r="F78" i="9"/>
  <c r="E75" i="9"/>
  <c r="E72" i="6"/>
  <c r="M76" i="8"/>
  <c r="L76" i="8"/>
  <c r="N76" i="7"/>
  <c r="M76" i="7"/>
  <c r="E76" i="7"/>
  <c r="F76" i="7" s="1"/>
  <c r="D76" i="8"/>
  <c r="E76" i="8" s="1"/>
  <c r="T76" i="3"/>
  <c r="S76" i="3"/>
  <c r="O77" i="3"/>
  <c r="P77" i="3" s="1"/>
  <c r="O79" i="3"/>
  <c r="P79" i="3" s="1"/>
  <c r="O80" i="3"/>
  <c r="P80" i="3" s="1"/>
  <c r="E76" i="3"/>
  <c r="K217" i="2"/>
  <c r="B71" i="6"/>
  <c r="B74" i="9" s="1"/>
  <c r="F75" i="7"/>
  <c r="F77" i="7"/>
  <c r="F78" i="7"/>
  <c r="F79" i="7"/>
  <c r="F80" i="7"/>
  <c r="F81" i="7"/>
  <c r="B75" i="7"/>
  <c r="A75" i="8"/>
  <c r="K214" i="2"/>
  <c r="B86" i="9"/>
  <c r="B87" i="9"/>
  <c r="L73" i="9"/>
  <c r="L74" i="9"/>
  <c r="L76" i="9"/>
  <c r="L77" i="9"/>
  <c r="B70" i="6"/>
  <c r="L74" i="7"/>
  <c r="L76" i="7"/>
  <c r="O74" i="7"/>
  <c r="O75" i="7"/>
  <c r="O77" i="7"/>
  <c r="O78" i="7"/>
  <c r="O79" i="7"/>
  <c r="K74" i="7"/>
  <c r="K75" i="7"/>
  <c r="L75" i="7" s="1"/>
  <c r="K76" i="7"/>
  <c r="K77" i="7"/>
  <c r="K78" i="7"/>
  <c r="K79" i="7"/>
  <c r="K80" i="7"/>
  <c r="L80" i="7" s="1"/>
  <c r="K81" i="7"/>
  <c r="J77" i="6" s="1"/>
  <c r="K82" i="7"/>
  <c r="J78" i="6" s="1"/>
  <c r="K83" i="7"/>
  <c r="E74" i="8"/>
  <c r="E75" i="8"/>
  <c r="E77" i="8"/>
  <c r="E78" i="8"/>
  <c r="E79" i="8"/>
  <c r="E80" i="8"/>
  <c r="E81" i="8"/>
  <c r="E82" i="8"/>
  <c r="E83" i="8"/>
  <c r="E84" i="8"/>
  <c r="A74" i="8"/>
  <c r="B74" i="7"/>
  <c r="K211" i="2"/>
  <c r="K208" i="2"/>
  <c r="L79" i="6" l="1"/>
  <c r="L78" i="6"/>
  <c r="L81" i="7"/>
  <c r="L77" i="6"/>
  <c r="J76" i="6"/>
  <c r="L76" i="6" s="1"/>
  <c r="B80" i="9"/>
  <c r="B79" i="9"/>
  <c r="B76" i="9"/>
  <c r="O76" i="7"/>
  <c r="H72" i="9"/>
  <c r="I72" i="9" s="1"/>
  <c r="G72" i="9"/>
  <c r="I73" i="9"/>
  <c r="I74" i="9"/>
  <c r="I75" i="9"/>
  <c r="I76" i="9"/>
  <c r="I77" i="9"/>
  <c r="I78" i="9"/>
  <c r="J72" i="9"/>
  <c r="K72" i="9"/>
  <c r="F72" i="9"/>
  <c r="F73" i="9"/>
  <c r="F74" i="9"/>
  <c r="F75" i="9"/>
  <c r="F76" i="9"/>
  <c r="F77" i="9"/>
  <c r="D72" i="9"/>
  <c r="E72" i="9"/>
  <c r="D70" i="6"/>
  <c r="F70" i="6" s="1"/>
  <c r="D71" i="6"/>
  <c r="F71" i="6" s="1"/>
  <c r="D73" i="6"/>
  <c r="F73" i="6" s="1"/>
  <c r="D74" i="6"/>
  <c r="F74" i="6" s="1"/>
  <c r="D75" i="6"/>
  <c r="F75" i="6" s="1"/>
  <c r="D76" i="6"/>
  <c r="F76" i="6" s="1"/>
  <c r="D77" i="6"/>
  <c r="F77" i="6" s="1"/>
  <c r="Q75" i="6"/>
  <c r="Q77" i="6"/>
  <c r="R77" i="6" s="1"/>
  <c r="Q78" i="6"/>
  <c r="R78" i="6" s="1"/>
  <c r="Q79" i="6"/>
  <c r="R79" i="6" s="1"/>
  <c r="Q80" i="6"/>
  <c r="R80" i="6" s="1"/>
  <c r="P70" i="6"/>
  <c r="P71" i="6"/>
  <c r="P72" i="6"/>
  <c r="P73" i="6"/>
  <c r="P74" i="6"/>
  <c r="P75" i="6"/>
  <c r="K70" i="6"/>
  <c r="K71" i="6"/>
  <c r="K73" i="6"/>
  <c r="K74" i="6"/>
  <c r="L75" i="6"/>
  <c r="J69" i="6"/>
  <c r="J70" i="6"/>
  <c r="Q70" i="6" s="1"/>
  <c r="R70" i="6" s="1"/>
  <c r="J71" i="6"/>
  <c r="Q71" i="6" s="1"/>
  <c r="J72" i="6"/>
  <c r="Q72" i="6" s="1"/>
  <c r="J73" i="6"/>
  <c r="Q73" i="6" s="1"/>
  <c r="J74" i="6"/>
  <c r="Q74" i="6" s="1"/>
  <c r="E69" i="6"/>
  <c r="B69" i="6"/>
  <c r="K73" i="8"/>
  <c r="K74" i="8"/>
  <c r="K77" i="8"/>
  <c r="K78" i="8"/>
  <c r="K79" i="8"/>
  <c r="K80" i="8"/>
  <c r="M73" i="8"/>
  <c r="L73" i="8"/>
  <c r="N73" i="7"/>
  <c r="M73" i="7"/>
  <c r="E73" i="7"/>
  <c r="J64" i="8"/>
  <c r="J65" i="8"/>
  <c r="J66" i="8"/>
  <c r="J67" i="8"/>
  <c r="J68" i="8"/>
  <c r="J69" i="8"/>
  <c r="J70" i="8"/>
  <c r="J71" i="8"/>
  <c r="J72" i="8"/>
  <c r="J73" i="8"/>
  <c r="J74" i="8"/>
  <c r="J75" i="8"/>
  <c r="K75" i="8" s="1"/>
  <c r="J76" i="8"/>
  <c r="K76" i="8" s="1"/>
  <c r="D73" i="8"/>
  <c r="A73" i="8"/>
  <c r="B73" i="7"/>
  <c r="T73" i="3"/>
  <c r="S73" i="3"/>
  <c r="E73" i="3"/>
  <c r="J71" i="9"/>
  <c r="G71" i="9"/>
  <c r="I71" i="9" s="1"/>
  <c r="F71" i="9"/>
  <c r="K72" i="8"/>
  <c r="B72" i="3"/>
  <c r="A72" i="8" s="1"/>
  <c r="K205" i="2"/>
  <c r="O118" i="3" l="1"/>
  <c r="P118" i="3" s="1"/>
  <c r="K114" i="6"/>
  <c r="L114" i="6" s="1"/>
  <c r="D114" i="6"/>
  <c r="F114" i="6" s="1"/>
  <c r="B68" i="6"/>
  <c r="B72" i="7"/>
  <c r="R75" i="6"/>
  <c r="R73" i="6"/>
  <c r="Q76" i="6"/>
  <c r="R76" i="6" s="1"/>
  <c r="R74" i="6"/>
  <c r="R72" i="6"/>
  <c r="L71" i="6"/>
  <c r="R71" i="6"/>
  <c r="L74" i="6"/>
  <c r="L70" i="6"/>
  <c r="L73" i="6"/>
  <c r="K67" i="9"/>
  <c r="K65" i="9"/>
  <c r="K63" i="9"/>
  <c r="K62" i="9"/>
  <c r="K61" i="9"/>
  <c r="K60" i="9"/>
  <c r="K59" i="9"/>
  <c r="K58" i="9"/>
  <c r="K57" i="9"/>
  <c r="K56" i="9"/>
  <c r="K54" i="9"/>
  <c r="K69" i="9"/>
  <c r="J69" i="9"/>
  <c r="J67" i="9"/>
  <c r="J65" i="9"/>
  <c r="J63" i="9"/>
  <c r="J62" i="9"/>
  <c r="J61" i="9"/>
  <c r="J60" i="9"/>
  <c r="J59" i="9"/>
  <c r="J58" i="9"/>
  <c r="J57" i="9"/>
  <c r="J56" i="9"/>
  <c r="J54" i="9"/>
  <c r="H67" i="9"/>
  <c r="H65" i="9"/>
  <c r="H63" i="9"/>
  <c r="H62" i="9"/>
  <c r="H61" i="9"/>
  <c r="H60" i="9"/>
  <c r="H59" i="9"/>
  <c r="H58" i="9"/>
  <c r="H57" i="9"/>
  <c r="H56" i="9"/>
  <c r="H54" i="9"/>
  <c r="H53" i="9"/>
  <c r="H49" i="9"/>
  <c r="H48" i="9"/>
  <c r="H47" i="9"/>
  <c r="H46" i="9"/>
  <c r="H45" i="9"/>
  <c r="H43" i="9"/>
  <c r="H42" i="9"/>
  <c r="H40" i="9"/>
  <c r="H38" i="9"/>
  <c r="H37" i="9"/>
  <c r="H69" i="9"/>
  <c r="G69" i="9"/>
  <c r="G67" i="9"/>
  <c r="G65" i="9"/>
  <c r="G63" i="9"/>
  <c r="G62" i="9"/>
  <c r="G61" i="9"/>
  <c r="G60" i="9"/>
  <c r="G59" i="9"/>
  <c r="G58" i="9"/>
  <c r="G57" i="9"/>
  <c r="G56" i="9"/>
  <c r="G54" i="9"/>
  <c r="G53" i="9"/>
  <c r="G49" i="9"/>
  <c r="G48" i="9"/>
  <c r="G47" i="9"/>
  <c r="G46" i="9"/>
  <c r="G45" i="9"/>
  <c r="G43" i="9"/>
  <c r="G42" i="9"/>
  <c r="G40" i="9"/>
  <c r="G38" i="9"/>
  <c r="G37" i="9"/>
  <c r="E67" i="9"/>
  <c r="E65" i="9"/>
  <c r="E63" i="9"/>
  <c r="E62" i="9"/>
  <c r="E61" i="9"/>
  <c r="E60" i="9"/>
  <c r="E59" i="9"/>
  <c r="E58" i="9"/>
  <c r="E57" i="9"/>
  <c r="E56" i="9"/>
  <c r="E54" i="9"/>
  <c r="E69" i="9"/>
  <c r="D69" i="9"/>
  <c r="D67" i="9"/>
  <c r="D65" i="9"/>
  <c r="D63" i="9"/>
  <c r="D62" i="9"/>
  <c r="D61" i="9"/>
  <c r="D60" i="9"/>
  <c r="D59" i="9"/>
  <c r="D58" i="9"/>
  <c r="D57" i="9"/>
  <c r="D56" i="9"/>
  <c r="D54" i="9"/>
  <c r="C5" i="6"/>
  <c r="C8" i="6"/>
  <c r="C68" i="6"/>
  <c r="C69" i="6"/>
  <c r="C70" i="6"/>
  <c r="C71" i="6"/>
  <c r="B5" i="6"/>
  <c r="B8" i="6"/>
  <c r="N70" i="8"/>
  <c r="N71" i="8"/>
  <c r="N72" i="8"/>
  <c r="N73" i="8"/>
  <c r="N74" i="8"/>
  <c r="N75" i="8"/>
  <c r="N76" i="8"/>
  <c r="N77" i="8"/>
  <c r="N78" i="8"/>
  <c r="K71" i="8"/>
  <c r="S71" i="3"/>
  <c r="B9" i="7" l="1"/>
  <c r="A9" i="8" s="1"/>
  <c r="B12" i="7"/>
  <c r="A12" i="8" s="1"/>
  <c r="B14" i="3"/>
  <c r="K71" i="3"/>
  <c r="K72" i="3"/>
  <c r="K73" i="3"/>
  <c r="K74" i="3"/>
  <c r="K75" i="3"/>
  <c r="K76" i="3"/>
  <c r="K77" i="3"/>
  <c r="K78" i="3"/>
  <c r="K79" i="3"/>
  <c r="F71" i="3"/>
  <c r="F72" i="3"/>
  <c r="F73" i="3"/>
  <c r="F74" i="3"/>
  <c r="F75" i="3"/>
  <c r="F76" i="3"/>
  <c r="F77" i="3"/>
  <c r="F78" i="3"/>
  <c r="B10" i="6" l="1"/>
  <c r="B131" i="7"/>
  <c r="A131" i="8"/>
  <c r="B127" i="6"/>
  <c r="B130" i="9" s="1"/>
  <c r="B14" i="7"/>
  <c r="A14" i="8" s="1"/>
  <c r="C71" i="3"/>
  <c r="C67" i="6" s="1"/>
  <c r="B71" i="3"/>
  <c r="K202" i="2"/>
  <c r="E66" i="6"/>
  <c r="L70" i="8"/>
  <c r="M70" i="8"/>
  <c r="N70" i="7"/>
  <c r="M70" i="7"/>
  <c r="B67" i="6" l="1"/>
  <c r="A71" i="8"/>
  <c r="B71" i="7"/>
  <c r="I70" i="7"/>
  <c r="I71" i="7"/>
  <c r="I72" i="7"/>
  <c r="I73" i="7"/>
  <c r="I74" i="7"/>
  <c r="I75" i="7"/>
  <c r="I76" i="7"/>
  <c r="H70" i="8"/>
  <c r="H71" i="8"/>
  <c r="H72" i="8"/>
  <c r="H73" i="8"/>
  <c r="H74" i="8"/>
  <c r="H75" i="8"/>
  <c r="H76" i="8"/>
  <c r="H77" i="8"/>
  <c r="K25" i="2"/>
  <c r="K28" i="2"/>
  <c r="K31" i="2"/>
  <c r="K34" i="2"/>
  <c r="K37" i="2"/>
  <c r="K40" i="2"/>
  <c r="K43" i="2"/>
  <c r="K46" i="2"/>
  <c r="K49" i="2"/>
  <c r="K52" i="2"/>
  <c r="K55" i="2"/>
  <c r="K58" i="2"/>
  <c r="K61" i="2"/>
  <c r="K64" i="2"/>
  <c r="K67" i="2"/>
  <c r="K70" i="2"/>
  <c r="K73" i="2"/>
  <c r="K76" i="2"/>
  <c r="K79" i="2"/>
  <c r="K82" i="2"/>
  <c r="K85" i="2"/>
  <c r="K88" i="2"/>
  <c r="K91" i="2"/>
  <c r="K94" i="2"/>
  <c r="K97" i="2"/>
  <c r="K100" i="2"/>
  <c r="K103" i="2"/>
  <c r="K106" i="2"/>
  <c r="K109" i="2"/>
  <c r="K112" i="2"/>
  <c r="K115" i="2"/>
  <c r="K118" i="2"/>
  <c r="K121" i="2"/>
  <c r="K124" i="2"/>
  <c r="K127" i="2"/>
  <c r="K130" i="2"/>
  <c r="K133" i="2"/>
  <c r="K136" i="2"/>
  <c r="K139" i="2"/>
  <c r="K142" i="2"/>
  <c r="K145" i="2"/>
  <c r="K148" i="2"/>
  <c r="K151" i="2"/>
  <c r="K154" i="2"/>
  <c r="K157" i="2"/>
  <c r="K160" i="2"/>
  <c r="K163" i="2"/>
  <c r="K166" i="2"/>
  <c r="K169" i="2"/>
  <c r="K172" i="2"/>
  <c r="K175" i="2"/>
  <c r="K178" i="2"/>
  <c r="K181" i="2"/>
  <c r="K184" i="2"/>
  <c r="K187" i="2"/>
  <c r="K190" i="2"/>
  <c r="K193" i="2"/>
  <c r="K196" i="2"/>
  <c r="K199" i="2"/>
  <c r="K19" i="2"/>
  <c r="K22" i="2"/>
  <c r="K16" i="2"/>
  <c r="K13" i="2"/>
  <c r="F71" i="7" l="1"/>
  <c r="F72" i="7"/>
  <c r="F73" i="7"/>
  <c r="F74" i="7"/>
  <c r="E70" i="7"/>
  <c r="F70" i="7" s="1"/>
  <c r="D70" i="8"/>
  <c r="E70" i="8" s="1"/>
  <c r="B71" i="8"/>
  <c r="B72" i="8"/>
  <c r="B74" i="8"/>
  <c r="C72" i="7"/>
  <c r="C74" i="7"/>
  <c r="O71" i="3"/>
  <c r="P71" i="3" s="1"/>
  <c r="O72" i="3"/>
  <c r="P72" i="3" s="1"/>
  <c r="O73" i="3"/>
  <c r="P73" i="3" s="1"/>
  <c r="O74" i="3"/>
  <c r="P74" i="3" s="1"/>
  <c r="O75" i="3"/>
  <c r="P75" i="3" s="1"/>
  <c r="T70" i="3"/>
  <c r="S70" i="3"/>
  <c r="K70" i="3"/>
  <c r="E70" i="3"/>
  <c r="O70" i="3" s="1"/>
  <c r="P70" i="3" s="1"/>
  <c r="C71" i="7"/>
  <c r="C70" i="3"/>
  <c r="C12" i="6" s="1"/>
  <c r="C75" i="7"/>
  <c r="B70" i="3"/>
  <c r="E68" i="9"/>
  <c r="M69" i="8"/>
  <c r="L69" i="8"/>
  <c r="O70" i="7"/>
  <c r="O71" i="7"/>
  <c r="O72" i="7"/>
  <c r="O73" i="7"/>
  <c r="M69" i="7"/>
  <c r="O69" i="7" s="1"/>
  <c r="N69" i="7"/>
  <c r="H69" i="8"/>
  <c r="I69" i="7"/>
  <c r="K69" i="3"/>
  <c r="E64" i="6"/>
  <c r="D65" i="6"/>
  <c r="F65" i="6" s="1"/>
  <c r="D67" i="6"/>
  <c r="F67" i="6" s="1"/>
  <c r="D68" i="6"/>
  <c r="F68" i="6" s="1"/>
  <c r="D69" i="6"/>
  <c r="F69" i="6" s="1"/>
  <c r="C72" i="9"/>
  <c r="C73" i="9"/>
  <c r="N68" i="7"/>
  <c r="M68" i="7"/>
  <c r="M68" i="8"/>
  <c r="L68" i="8"/>
  <c r="H68" i="8"/>
  <c r="I68" i="7"/>
  <c r="E68" i="7"/>
  <c r="D68" i="8"/>
  <c r="T68" i="3"/>
  <c r="S68" i="3"/>
  <c r="K68" i="3"/>
  <c r="E68" i="3"/>
  <c r="D64" i="6" s="1"/>
  <c r="F64" i="6" s="1"/>
  <c r="C68" i="3"/>
  <c r="C69" i="3"/>
  <c r="B92" i="8" s="1"/>
  <c r="B68" i="3"/>
  <c r="B69" i="3"/>
  <c r="H66" i="9"/>
  <c r="E66" i="9"/>
  <c r="K69" i="8"/>
  <c r="K70" i="8"/>
  <c r="K67" i="7"/>
  <c r="L67" i="7" s="1"/>
  <c r="K68" i="7"/>
  <c r="K69" i="7"/>
  <c r="L69" i="7" s="1"/>
  <c r="K70" i="7"/>
  <c r="L70" i="7" s="1"/>
  <c r="K71" i="7"/>
  <c r="L71" i="7" s="1"/>
  <c r="K72" i="7"/>
  <c r="L72" i="7" s="1"/>
  <c r="K73" i="7"/>
  <c r="L73" i="7" s="1"/>
  <c r="G67" i="8"/>
  <c r="H67" i="8" s="1"/>
  <c r="I67" i="7"/>
  <c r="S67" i="3"/>
  <c r="K67" i="3"/>
  <c r="L65" i="9"/>
  <c r="E62" i="6"/>
  <c r="N66" i="7"/>
  <c r="M66" i="7"/>
  <c r="L68" i="7"/>
  <c r="M66" i="8"/>
  <c r="L66" i="8"/>
  <c r="I66" i="7"/>
  <c r="H66" i="8"/>
  <c r="E66" i="7"/>
  <c r="E67" i="8"/>
  <c r="E68" i="8"/>
  <c r="E69" i="8"/>
  <c r="E71" i="8"/>
  <c r="E72" i="8"/>
  <c r="E73" i="8"/>
  <c r="D66" i="8"/>
  <c r="T66" i="3"/>
  <c r="S66" i="3"/>
  <c r="K66" i="3"/>
  <c r="E66" i="3"/>
  <c r="C66" i="3"/>
  <c r="C67" i="3"/>
  <c r="B66" i="3"/>
  <c r="B67" i="3"/>
  <c r="L64" i="9"/>
  <c r="L66" i="9"/>
  <c r="L68" i="9"/>
  <c r="L69" i="9"/>
  <c r="L70" i="9"/>
  <c r="L71" i="9"/>
  <c r="L72" i="9"/>
  <c r="E64" i="9"/>
  <c r="D66" i="6" l="1"/>
  <c r="F66" i="6" s="1"/>
  <c r="C63" i="6"/>
  <c r="B79" i="8"/>
  <c r="A112" i="8"/>
  <c r="B112" i="7"/>
  <c r="B108" i="6"/>
  <c r="B111" i="9" s="1"/>
  <c r="B75" i="6"/>
  <c r="B78" i="9" s="1"/>
  <c r="B79" i="7"/>
  <c r="A79" i="8"/>
  <c r="O112" i="3"/>
  <c r="P112" i="3" s="1"/>
  <c r="K108" i="6"/>
  <c r="L108" i="6" s="1"/>
  <c r="D108" i="6"/>
  <c r="F108" i="6" s="1"/>
  <c r="B65" i="6"/>
  <c r="A92" i="8"/>
  <c r="B92" i="7"/>
  <c r="B88" i="6"/>
  <c r="B91" i="9" s="1"/>
  <c r="B66" i="6"/>
  <c r="B12" i="6"/>
  <c r="B16" i="7"/>
  <c r="A16" i="8" s="1"/>
  <c r="C69" i="7"/>
  <c r="C65" i="6"/>
  <c r="C70" i="7"/>
  <c r="C66" i="6"/>
  <c r="B67" i="7"/>
  <c r="B63" i="6"/>
  <c r="L67" i="9"/>
  <c r="B72" i="9"/>
  <c r="B70" i="7"/>
  <c r="C67" i="7"/>
  <c r="A70" i="8"/>
  <c r="A67" i="8"/>
  <c r="A69" i="8"/>
  <c r="C73" i="7"/>
  <c r="B67" i="8"/>
  <c r="B69" i="7"/>
  <c r="B69" i="8"/>
  <c r="B70" i="8"/>
  <c r="B73" i="8"/>
  <c r="B73" i="9"/>
  <c r="B71" i="9"/>
  <c r="E61" i="6"/>
  <c r="N66" i="8"/>
  <c r="N67" i="8"/>
  <c r="N68" i="8"/>
  <c r="N69" i="8"/>
  <c r="M65" i="8"/>
  <c r="L65" i="8"/>
  <c r="N65" i="7"/>
  <c r="M65" i="7"/>
  <c r="E65" i="7"/>
  <c r="D65" i="8"/>
  <c r="P61" i="6" s="1"/>
  <c r="T65" i="3"/>
  <c r="S65" i="3"/>
  <c r="K65" i="3"/>
  <c r="C65" i="3"/>
  <c r="B65" i="3"/>
  <c r="I63" i="9"/>
  <c r="Q69" i="6"/>
  <c r="P62" i="6"/>
  <c r="P63" i="6"/>
  <c r="P64" i="6"/>
  <c r="P65" i="6"/>
  <c r="P66" i="6"/>
  <c r="P67" i="6"/>
  <c r="P68" i="6"/>
  <c r="P69" i="6"/>
  <c r="O69" i="6"/>
  <c r="N68" i="6"/>
  <c r="N69" i="6"/>
  <c r="K61" i="6"/>
  <c r="K62" i="6"/>
  <c r="K63" i="6"/>
  <c r="K64" i="6"/>
  <c r="K65" i="6"/>
  <c r="K66" i="6"/>
  <c r="K67" i="6"/>
  <c r="K68" i="6"/>
  <c r="K69" i="6"/>
  <c r="L69" i="6" s="1"/>
  <c r="J63" i="6"/>
  <c r="Q63" i="6" s="1"/>
  <c r="J64" i="6"/>
  <c r="Q64" i="6" s="1"/>
  <c r="J65" i="6"/>
  <c r="Q65" i="6" s="1"/>
  <c r="J66" i="6"/>
  <c r="Q66" i="6" s="1"/>
  <c r="J67" i="6"/>
  <c r="Q67" i="6" s="1"/>
  <c r="J68" i="6"/>
  <c r="Q68" i="6" s="1"/>
  <c r="E60" i="6"/>
  <c r="M64" i="8"/>
  <c r="L64" i="8"/>
  <c r="O65" i="7"/>
  <c r="O66" i="7"/>
  <c r="O67" i="7"/>
  <c r="O68" i="7"/>
  <c r="N64" i="7"/>
  <c r="M64" i="7"/>
  <c r="O64" i="7" s="1"/>
  <c r="E64" i="7"/>
  <c r="F64" i="7" s="1"/>
  <c r="D64" i="8"/>
  <c r="E64" i="8" s="1"/>
  <c r="T64" i="3"/>
  <c r="S64" i="3"/>
  <c r="K64" i="3"/>
  <c r="F65" i="3"/>
  <c r="F66" i="3"/>
  <c r="F67" i="3"/>
  <c r="F68" i="3"/>
  <c r="F69" i="3"/>
  <c r="F70" i="3"/>
  <c r="E64" i="3"/>
  <c r="F64" i="3" s="1"/>
  <c r="F64" i="9"/>
  <c r="F65" i="9"/>
  <c r="F66" i="9"/>
  <c r="F67" i="9"/>
  <c r="F68" i="9"/>
  <c r="F69" i="9"/>
  <c r="F70" i="9"/>
  <c r="I64" i="9"/>
  <c r="I65" i="9"/>
  <c r="I66" i="9"/>
  <c r="I67" i="9"/>
  <c r="I68" i="9"/>
  <c r="I69" i="9"/>
  <c r="I70" i="9"/>
  <c r="E59" i="6"/>
  <c r="M63" i="8"/>
  <c r="N63" i="7"/>
  <c r="M63" i="7"/>
  <c r="L63" i="8"/>
  <c r="J63" i="7"/>
  <c r="K67" i="8"/>
  <c r="K68" i="8"/>
  <c r="I63" i="8"/>
  <c r="E63" i="7"/>
  <c r="F63" i="7" s="1"/>
  <c r="D63" i="8"/>
  <c r="J63" i="8" s="1"/>
  <c r="T63" i="3"/>
  <c r="S63" i="3"/>
  <c r="N63" i="3"/>
  <c r="O65" i="3"/>
  <c r="P65" i="3" s="1"/>
  <c r="O66" i="3"/>
  <c r="P66" i="3" s="1"/>
  <c r="O67" i="3"/>
  <c r="P67" i="3" s="1"/>
  <c r="O68" i="3"/>
  <c r="P68" i="3" s="1"/>
  <c r="O69" i="3"/>
  <c r="P69" i="3" s="1"/>
  <c r="K63" i="3"/>
  <c r="E63" i="3"/>
  <c r="O63" i="3" s="1"/>
  <c r="P63" i="3" s="1"/>
  <c r="C63" i="3"/>
  <c r="C59" i="6" s="1"/>
  <c r="C64" i="3"/>
  <c r="B63" i="3"/>
  <c r="B64" i="3"/>
  <c r="E58" i="6"/>
  <c r="M62" i="8"/>
  <c r="L62" i="8"/>
  <c r="N62" i="7"/>
  <c r="M62" i="7"/>
  <c r="F65" i="7"/>
  <c r="F66" i="7"/>
  <c r="F67" i="7"/>
  <c r="F68" i="7"/>
  <c r="F69" i="7"/>
  <c r="F62" i="7"/>
  <c r="J52" i="8"/>
  <c r="J53" i="8"/>
  <c r="J56" i="8"/>
  <c r="K64" i="8"/>
  <c r="K65" i="8"/>
  <c r="K66" i="8"/>
  <c r="E66" i="8"/>
  <c r="D62" i="8"/>
  <c r="E62" i="8" s="1"/>
  <c r="O64" i="3" l="1"/>
  <c r="P64" i="3" s="1"/>
  <c r="A64" i="8"/>
  <c r="B60" i="6"/>
  <c r="B64" i="8"/>
  <c r="C60" i="6"/>
  <c r="A65" i="8"/>
  <c r="B61" i="6"/>
  <c r="A63" i="8"/>
  <c r="B59" i="6"/>
  <c r="B65" i="8"/>
  <c r="C61" i="6"/>
  <c r="F63" i="9"/>
  <c r="I62" i="9"/>
  <c r="E63" i="8"/>
  <c r="K63" i="8"/>
  <c r="R67" i="6"/>
  <c r="E65" i="8"/>
  <c r="R68" i="6"/>
  <c r="R64" i="6"/>
  <c r="B69" i="9"/>
  <c r="J62" i="8"/>
  <c r="N65" i="8"/>
  <c r="R69" i="6"/>
  <c r="B64" i="7"/>
  <c r="C64" i="7"/>
  <c r="B63" i="7"/>
  <c r="C65" i="7"/>
  <c r="B65" i="7"/>
  <c r="C63" i="7"/>
  <c r="B63" i="8"/>
  <c r="R66" i="6"/>
  <c r="I67" i="6"/>
  <c r="O67" i="6" s="1"/>
  <c r="C70" i="9"/>
  <c r="I68" i="6"/>
  <c r="O68" i="6" s="1"/>
  <c r="C71" i="9"/>
  <c r="L65" i="6"/>
  <c r="R65" i="6"/>
  <c r="L68" i="6"/>
  <c r="L64" i="6"/>
  <c r="R63" i="6"/>
  <c r="L67" i="6"/>
  <c r="L63" i="6"/>
  <c r="L66" i="6"/>
  <c r="T62" i="3"/>
  <c r="S62" i="3"/>
  <c r="E62" i="3"/>
  <c r="E57" i="6"/>
  <c r="M61" i="8"/>
  <c r="N61" i="7"/>
  <c r="M61" i="7"/>
  <c r="K62" i="7"/>
  <c r="L62" i="7" s="1"/>
  <c r="K63" i="7"/>
  <c r="L63" i="7" s="1"/>
  <c r="K64" i="7"/>
  <c r="L64" i="7" s="1"/>
  <c r="K65" i="7"/>
  <c r="J61" i="6" s="1"/>
  <c r="Q61" i="6" s="1"/>
  <c r="R61" i="6" s="1"/>
  <c r="K66" i="7"/>
  <c r="J62" i="6" s="1"/>
  <c r="Q62" i="6" s="1"/>
  <c r="R62" i="6" s="1"/>
  <c r="L61" i="8"/>
  <c r="N61" i="8" s="1"/>
  <c r="E61" i="7"/>
  <c r="K61" i="7" s="1"/>
  <c r="L61" i="7" s="1"/>
  <c r="D61" i="8"/>
  <c r="J61" i="8" s="1"/>
  <c r="T61" i="3"/>
  <c r="S61" i="3"/>
  <c r="E61" i="3"/>
  <c r="C61" i="3"/>
  <c r="C62" i="3"/>
  <c r="B61" i="3"/>
  <c r="B62" i="3"/>
  <c r="E56" i="6"/>
  <c r="N60" i="7"/>
  <c r="M60" i="7"/>
  <c r="M60" i="8"/>
  <c r="L60" i="8"/>
  <c r="N62" i="8"/>
  <c r="N63" i="8"/>
  <c r="N64" i="8"/>
  <c r="L59" i="8"/>
  <c r="M59" i="8"/>
  <c r="E60" i="7"/>
  <c r="D60" i="8"/>
  <c r="J60" i="8" s="1"/>
  <c r="N59" i="7"/>
  <c r="M59" i="7"/>
  <c r="T60" i="3"/>
  <c r="S60" i="3"/>
  <c r="E60" i="3"/>
  <c r="B76" i="8" l="1"/>
  <c r="C76" i="7"/>
  <c r="A76" i="8"/>
  <c r="B72" i="6"/>
  <c r="B75" i="9" s="1"/>
  <c r="B76" i="7"/>
  <c r="O76" i="3"/>
  <c r="P76" i="3" s="1"/>
  <c r="D72" i="6"/>
  <c r="F72" i="6" s="1"/>
  <c r="K72" i="6"/>
  <c r="L72" i="6" s="1"/>
  <c r="B62" i="8"/>
  <c r="C58" i="6"/>
  <c r="A62" i="8"/>
  <c r="B58" i="6"/>
  <c r="N60" i="8"/>
  <c r="H66" i="6"/>
  <c r="N66" i="6" s="1"/>
  <c r="H65" i="6"/>
  <c r="N65" i="6" s="1"/>
  <c r="B68" i="9"/>
  <c r="N59" i="8"/>
  <c r="L66" i="7"/>
  <c r="C62" i="7"/>
  <c r="B62" i="7"/>
  <c r="B70" i="9"/>
  <c r="H67" i="6"/>
  <c r="N67" i="6" s="1"/>
  <c r="I65" i="6"/>
  <c r="O65" i="6" s="1"/>
  <c r="C68" i="9"/>
  <c r="C69" i="9"/>
  <c r="L62" i="6"/>
  <c r="L65" i="7"/>
  <c r="L61" i="6"/>
  <c r="E55" i="6"/>
  <c r="E50" i="6"/>
  <c r="E46" i="6"/>
  <c r="E45" i="6"/>
  <c r="E44" i="6"/>
  <c r="E43" i="6"/>
  <c r="E42" i="6"/>
  <c r="E40" i="6"/>
  <c r="E39" i="6"/>
  <c r="E37" i="6"/>
  <c r="E35" i="6"/>
  <c r="E34" i="6"/>
  <c r="I66" i="6" l="1"/>
  <c r="O66" i="6" s="1"/>
  <c r="N54" i="7"/>
  <c r="N50" i="7"/>
  <c r="N49" i="7"/>
  <c r="N48" i="7"/>
  <c r="N47" i="7"/>
  <c r="N46" i="7"/>
  <c r="N44" i="7"/>
  <c r="N43" i="7"/>
  <c r="N41" i="7"/>
  <c r="N39" i="7"/>
  <c r="N38" i="7"/>
  <c r="M54" i="7"/>
  <c r="M50" i="7"/>
  <c r="M49" i="7"/>
  <c r="M48" i="7"/>
  <c r="M47" i="7"/>
  <c r="M46" i="7"/>
  <c r="M44" i="7"/>
  <c r="M43" i="7"/>
  <c r="M41" i="7"/>
  <c r="M39" i="7"/>
  <c r="M38" i="7"/>
  <c r="E50" i="7"/>
  <c r="E49" i="7"/>
  <c r="E48" i="7"/>
  <c r="E47" i="7"/>
  <c r="E46" i="7"/>
  <c r="E44" i="7"/>
  <c r="E43" i="7"/>
  <c r="E41" i="7"/>
  <c r="E39" i="7"/>
  <c r="E38" i="7"/>
  <c r="E54" i="7"/>
  <c r="H60" i="8"/>
  <c r="H61" i="8"/>
  <c r="H62" i="8"/>
  <c r="H63" i="8"/>
  <c r="H64" i="8"/>
  <c r="H65" i="8"/>
  <c r="D59" i="8"/>
  <c r="J59" i="8" s="1"/>
  <c r="T59" i="3"/>
  <c r="S59" i="3"/>
  <c r="I60" i="7"/>
  <c r="I61" i="7"/>
  <c r="I62" i="7"/>
  <c r="I63" i="7"/>
  <c r="I64" i="7"/>
  <c r="I65" i="7"/>
  <c r="K60" i="3"/>
  <c r="K61" i="3"/>
  <c r="K62" i="3"/>
  <c r="K59" i="3"/>
  <c r="E59" i="3"/>
  <c r="E59" i="7"/>
  <c r="C59" i="3"/>
  <c r="C6" i="6" s="1"/>
  <c r="C60" i="3"/>
  <c r="B59" i="3"/>
  <c r="B60" i="3"/>
  <c r="B55" i="6" l="1"/>
  <c r="B6" i="6"/>
  <c r="B10" i="7"/>
  <c r="A10" i="8" s="1"/>
  <c r="C56" i="6"/>
  <c r="C57" i="6"/>
  <c r="C61" i="7"/>
  <c r="B61" i="8"/>
  <c r="B56" i="6"/>
  <c r="A61" i="8"/>
  <c r="B61" i="7"/>
  <c r="B57" i="6"/>
  <c r="B59" i="8"/>
  <c r="C55" i="6"/>
  <c r="H59" i="8"/>
  <c r="I59" i="7"/>
  <c r="B59" i="7"/>
  <c r="C59" i="7"/>
  <c r="B60" i="8"/>
  <c r="C60" i="7"/>
  <c r="A59" i="8"/>
  <c r="B60" i="7"/>
  <c r="A60" i="8"/>
  <c r="I58" i="9"/>
  <c r="I59" i="9"/>
  <c r="I60" i="9"/>
  <c r="I61" i="9"/>
  <c r="I57" i="9"/>
  <c r="E54" i="6"/>
  <c r="N58" i="7"/>
  <c r="M58" i="8"/>
  <c r="M58" i="7"/>
  <c r="L58" i="8"/>
  <c r="I58" i="7"/>
  <c r="H58" i="8"/>
  <c r="E59" i="8"/>
  <c r="E60" i="8"/>
  <c r="E61" i="8"/>
  <c r="D58" i="8"/>
  <c r="J58" i="8" s="1"/>
  <c r="E58" i="7"/>
  <c r="T58" i="3"/>
  <c r="S58" i="3"/>
  <c r="K58" i="3"/>
  <c r="F59" i="3"/>
  <c r="F60" i="3"/>
  <c r="F61" i="3"/>
  <c r="F62" i="3"/>
  <c r="F63" i="3"/>
  <c r="E58" i="3"/>
  <c r="F58" i="3" s="1"/>
  <c r="E58" i="8" l="1"/>
  <c r="L57" i="9"/>
  <c r="L58" i="9"/>
  <c r="L59" i="9"/>
  <c r="L60" i="9"/>
  <c r="L61" i="9"/>
  <c r="L62" i="9"/>
  <c r="L63" i="9"/>
  <c r="F57" i="9"/>
  <c r="F58" i="9"/>
  <c r="F59" i="9"/>
  <c r="F60" i="9"/>
  <c r="F61" i="9"/>
  <c r="F62" i="9"/>
  <c r="E53" i="6"/>
  <c r="O58" i="7"/>
  <c r="O59" i="7"/>
  <c r="O60" i="7"/>
  <c r="O61" i="7"/>
  <c r="O62" i="7"/>
  <c r="O63" i="7"/>
  <c r="N57" i="7"/>
  <c r="M57" i="7"/>
  <c r="L57" i="8"/>
  <c r="M57" i="8"/>
  <c r="K62" i="8"/>
  <c r="K58" i="8"/>
  <c r="K59" i="8"/>
  <c r="K60" i="8"/>
  <c r="K61" i="8"/>
  <c r="I57" i="7"/>
  <c r="E57" i="7"/>
  <c r="D57" i="8"/>
  <c r="J57" i="8" s="1"/>
  <c r="T57" i="3"/>
  <c r="S57" i="3"/>
  <c r="O58" i="3"/>
  <c r="P58" i="3" s="1"/>
  <c r="O59" i="3"/>
  <c r="P59" i="3" s="1"/>
  <c r="O60" i="3"/>
  <c r="P60" i="3" s="1"/>
  <c r="O61" i="3"/>
  <c r="P61" i="3" s="1"/>
  <c r="O62" i="3"/>
  <c r="P62" i="3" s="1"/>
  <c r="K57" i="3"/>
  <c r="E57" i="3"/>
  <c r="O57" i="3" s="1"/>
  <c r="P57" i="3" s="1"/>
  <c r="C57" i="3"/>
  <c r="C4" i="6" s="1"/>
  <c r="C58" i="3"/>
  <c r="C54" i="6" s="1"/>
  <c r="B57" i="3"/>
  <c r="B58" i="3"/>
  <c r="B54" i="6" s="1"/>
  <c r="B58" i="9"/>
  <c r="B59" i="9"/>
  <c r="H57" i="6"/>
  <c r="N57" i="6" s="1"/>
  <c r="B61" i="9"/>
  <c r="H59" i="6"/>
  <c r="N59" i="6" s="1"/>
  <c r="B63" i="9"/>
  <c r="H61" i="6"/>
  <c r="N61" i="6" s="1"/>
  <c r="I56" i="6"/>
  <c r="O56" i="6" s="1"/>
  <c r="I57" i="6"/>
  <c r="O57" i="6" s="1"/>
  <c r="C61" i="9"/>
  <c r="I59" i="6"/>
  <c r="O59" i="6" s="1"/>
  <c r="D53" i="6"/>
  <c r="F53" i="6" s="1"/>
  <c r="D54" i="6"/>
  <c r="F54" i="6" s="1"/>
  <c r="D55" i="6"/>
  <c r="F55" i="6" s="1"/>
  <c r="D56" i="6"/>
  <c r="F56" i="6" s="1"/>
  <c r="D57" i="6"/>
  <c r="F57" i="6" s="1"/>
  <c r="D58" i="6"/>
  <c r="F58" i="6" s="1"/>
  <c r="D59" i="6"/>
  <c r="F59" i="6" s="1"/>
  <c r="D60" i="6"/>
  <c r="F60" i="6" s="1"/>
  <c r="D61" i="6"/>
  <c r="F61" i="6" s="1"/>
  <c r="D62" i="6"/>
  <c r="F62" i="6" s="1"/>
  <c r="D63" i="6"/>
  <c r="F63" i="6" s="1"/>
  <c r="J57" i="6"/>
  <c r="Q57" i="6" s="1"/>
  <c r="J58" i="6"/>
  <c r="Q58" i="6" s="1"/>
  <c r="J59" i="6"/>
  <c r="Q59" i="6" s="1"/>
  <c r="J60" i="6"/>
  <c r="Q60" i="6" s="1"/>
  <c r="K54" i="6"/>
  <c r="K55" i="6"/>
  <c r="K56" i="6"/>
  <c r="K57" i="6"/>
  <c r="K58" i="6"/>
  <c r="K59" i="6"/>
  <c r="K60" i="6"/>
  <c r="P54" i="6"/>
  <c r="P55" i="6"/>
  <c r="P56" i="6"/>
  <c r="P57" i="6"/>
  <c r="P58" i="6"/>
  <c r="P59" i="6"/>
  <c r="P60" i="6"/>
  <c r="B4" i="6" l="1"/>
  <c r="B8" i="7"/>
  <c r="A8" i="8" s="1"/>
  <c r="C57" i="7"/>
  <c r="C53" i="6"/>
  <c r="A57" i="8"/>
  <c r="B53" i="6"/>
  <c r="L56" i="9"/>
  <c r="F56" i="9"/>
  <c r="K57" i="8"/>
  <c r="P53" i="6"/>
  <c r="R60" i="6"/>
  <c r="O57" i="7"/>
  <c r="H56" i="6"/>
  <c r="N56" i="6" s="1"/>
  <c r="B57" i="8"/>
  <c r="H55" i="6"/>
  <c r="N55" i="6" s="1"/>
  <c r="B57" i="7"/>
  <c r="C58" i="7"/>
  <c r="B58" i="8"/>
  <c r="A58" i="8"/>
  <c r="B58" i="7"/>
  <c r="I58" i="6"/>
  <c r="O58" i="6" s="1"/>
  <c r="C66" i="9"/>
  <c r="I63" i="6"/>
  <c r="O63" i="6" s="1"/>
  <c r="C64" i="9"/>
  <c r="I61" i="6"/>
  <c r="O61" i="6" s="1"/>
  <c r="B66" i="9"/>
  <c r="H63" i="6"/>
  <c r="N63" i="6" s="1"/>
  <c r="I60" i="6"/>
  <c r="O60" i="6" s="1"/>
  <c r="C63" i="9"/>
  <c r="H60" i="6"/>
  <c r="N60" i="6" s="1"/>
  <c r="B64" i="9"/>
  <c r="B62" i="9"/>
  <c r="R59" i="6"/>
  <c r="R58" i="6"/>
  <c r="R57" i="6"/>
  <c r="C62" i="9"/>
  <c r="H58" i="6"/>
  <c r="N58" i="6" s="1"/>
  <c r="C59" i="9"/>
  <c r="C60" i="9"/>
  <c r="B60" i="9"/>
  <c r="L58" i="6"/>
  <c r="L57" i="6"/>
  <c r="L60" i="6"/>
  <c r="L59" i="6"/>
  <c r="I56" i="7"/>
  <c r="E56" i="7"/>
  <c r="F56" i="7" s="1"/>
  <c r="K56" i="3"/>
  <c r="C56" i="3"/>
  <c r="B56" i="3"/>
  <c r="E51" i="6"/>
  <c r="M55" i="7"/>
  <c r="N55" i="7"/>
  <c r="M55" i="8"/>
  <c r="L55" i="8"/>
  <c r="I55" i="7"/>
  <c r="F57" i="7"/>
  <c r="F58" i="7"/>
  <c r="F59" i="7"/>
  <c r="F60" i="7"/>
  <c r="F61" i="7"/>
  <c r="E55" i="7"/>
  <c r="F55" i="7" s="1"/>
  <c r="D55" i="8"/>
  <c r="J55" i="8" s="1"/>
  <c r="T55" i="3"/>
  <c r="B56" i="7" l="1"/>
  <c r="B52" i="6"/>
  <c r="C56" i="7"/>
  <c r="C52" i="6"/>
  <c r="B56" i="8"/>
  <c r="A56" i="8"/>
  <c r="K55" i="3"/>
  <c r="I55" i="6" l="1"/>
  <c r="O55" i="6" s="1"/>
  <c r="C58" i="9"/>
  <c r="C57" i="9"/>
  <c r="I54" i="6"/>
  <c r="O54" i="6" s="1"/>
  <c r="I53" i="6"/>
  <c r="O53" i="6" s="1"/>
  <c r="C56" i="9"/>
  <c r="C55" i="3"/>
  <c r="C51" i="6" s="1"/>
  <c r="B55" i="3"/>
  <c r="J53" i="9"/>
  <c r="K53" i="9"/>
  <c r="D53" i="9"/>
  <c r="E53" i="9"/>
  <c r="B51" i="6" l="1"/>
  <c r="A142" i="8"/>
  <c r="B142" i="7"/>
  <c r="B138" i="6"/>
  <c r="B141" i="9" s="1"/>
  <c r="B55" i="8"/>
  <c r="C55" i="7"/>
  <c r="B55" i="7"/>
  <c r="A55" i="8"/>
  <c r="M54" i="8"/>
  <c r="L54" i="8"/>
  <c r="N54" i="8" s="1"/>
  <c r="I54" i="7"/>
  <c r="H54" i="8"/>
  <c r="D54" i="8"/>
  <c r="J54" i="8" s="1"/>
  <c r="K54" i="3"/>
  <c r="O54" i="3"/>
  <c r="P54" i="3" s="1"/>
  <c r="K54" i="8"/>
  <c r="K55" i="8"/>
  <c r="I53" i="7"/>
  <c r="K53" i="3"/>
  <c r="C53" i="3"/>
  <c r="C49" i="6" s="1"/>
  <c r="C54" i="3"/>
  <c r="B53" i="3"/>
  <c r="B54" i="3"/>
  <c r="B50" i="6" s="1"/>
  <c r="P48" i="6"/>
  <c r="P49" i="6"/>
  <c r="P51" i="6"/>
  <c r="P52" i="6"/>
  <c r="K49" i="6"/>
  <c r="K50" i="6"/>
  <c r="K51" i="6"/>
  <c r="K52" i="6"/>
  <c r="K53" i="6"/>
  <c r="D48" i="6"/>
  <c r="F48" i="6" s="1"/>
  <c r="D49" i="6"/>
  <c r="F49" i="6" s="1"/>
  <c r="D51" i="6"/>
  <c r="F51" i="6" s="1"/>
  <c r="D52" i="6"/>
  <c r="F52" i="6" s="1"/>
  <c r="I51" i="6"/>
  <c r="I52" i="6"/>
  <c r="O52" i="6" s="1"/>
  <c r="K52" i="7"/>
  <c r="L52" i="7" s="1"/>
  <c r="K53" i="7"/>
  <c r="J49" i="6" s="1"/>
  <c r="K54" i="7"/>
  <c r="J50" i="6" s="1"/>
  <c r="K55" i="7"/>
  <c r="L55" i="7" s="1"/>
  <c r="K56" i="7"/>
  <c r="K57" i="7"/>
  <c r="L57" i="7" s="1"/>
  <c r="K58" i="7"/>
  <c r="K59" i="7"/>
  <c r="K60" i="7"/>
  <c r="N52" i="8"/>
  <c r="N53" i="8"/>
  <c r="N55" i="8"/>
  <c r="N56" i="8"/>
  <c r="N57" i="8"/>
  <c r="N58" i="8"/>
  <c r="H53" i="8"/>
  <c r="H55" i="8"/>
  <c r="H56" i="8"/>
  <c r="H57" i="8"/>
  <c r="I52" i="7"/>
  <c r="H52" i="8"/>
  <c r="E52" i="8"/>
  <c r="E53" i="8"/>
  <c r="E55" i="8"/>
  <c r="E56" i="8"/>
  <c r="E57" i="8"/>
  <c r="F52" i="7"/>
  <c r="F53" i="7"/>
  <c r="F54" i="7"/>
  <c r="O52" i="7"/>
  <c r="O53" i="7"/>
  <c r="O54" i="7"/>
  <c r="O55" i="7"/>
  <c r="O56" i="7"/>
  <c r="O51" i="3"/>
  <c r="P51" i="3" s="1"/>
  <c r="O52" i="3"/>
  <c r="P52" i="3" s="1"/>
  <c r="O53" i="3"/>
  <c r="P53" i="3" s="1"/>
  <c r="O55" i="3"/>
  <c r="P55" i="3" s="1"/>
  <c r="O56" i="3"/>
  <c r="P56" i="3" s="1"/>
  <c r="K52" i="3"/>
  <c r="C52" i="3"/>
  <c r="B52" i="3"/>
  <c r="I50" i="9"/>
  <c r="I51" i="9"/>
  <c r="I52" i="9"/>
  <c r="I53" i="9"/>
  <c r="I54" i="9"/>
  <c r="I55" i="9"/>
  <c r="I56" i="9"/>
  <c r="E47" i="6"/>
  <c r="I51" i="7"/>
  <c r="C51" i="3"/>
  <c r="B51" i="3"/>
  <c r="L50" i="9"/>
  <c r="L51" i="9"/>
  <c r="L52" i="9"/>
  <c r="L53" i="9"/>
  <c r="L54" i="9"/>
  <c r="L55" i="9"/>
  <c r="J49" i="9"/>
  <c r="K49" i="9"/>
  <c r="D49" i="9"/>
  <c r="E49" i="9"/>
  <c r="M50" i="8"/>
  <c r="L50" i="8"/>
  <c r="K53" i="8"/>
  <c r="K56" i="8"/>
  <c r="K50" i="7"/>
  <c r="K51" i="7"/>
  <c r="D50" i="8"/>
  <c r="O50" i="3"/>
  <c r="P50" i="3" s="1"/>
  <c r="J48" i="9"/>
  <c r="K48" i="9"/>
  <c r="F50" i="9"/>
  <c r="F51" i="9"/>
  <c r="F52" i="9"/>
  <c r="F53" i="9"/>
  <c r="F54" i="9"/>
  <c r="F55" i="9"/>
  <c r="D48" i="9"/>
  <c r="E48" i="9"/>
  <c r="M49" i="8"/>
  <c r="L49" i="8"/>
  <c r="D49" i="8"/>
  <c r="C49" i="3"/>
  <c r="B91" i="8" s="1"/>
  <c r="C50" i="3"/>
  <c r="B49" i="3"/>
  <c r="B50" i="3"/>
  <c r="B87" i="6" l="1"/>
  <c r="B90" i="9" s="1"/>
  <c r="B91" i="7"/>
  <c r="A91" i="8"/>
  <c r="B53" i="7"/>
  <c r="B49" i="6"/>
  <c r="C54" i="7"/>
  <c r="C50" i="6"/>
  <c r="F48" i="9"/>
  <c r="L49" i="9"/>
  <c r="F49" i="9"/>
  <c r="E54" i="8"/>
  <c r="P50" i="6"/>
  <c r="L53" i="7"/>
  <c r="J56" i="6"/>
  <c r="L60" i="7"/>
  <c r="J52" i="6"/>
  <c r="Q52" i="6" s="1"/>
  <c r="R52" i="6" s="1"/>
  <c r="L56" i="7"/>
  <c r="J53" i="6"/>
  <c r="Q53" i="6" s="1"/>
  <c r="R53" i="6" s="1"/>
  <c r="L54" i="7"/>
  <c r="D50" i="6"/>
  <c r="F50" i="6" s="1"/>
  <c r="C53" i="7"/>
  <c r="B54" i="8"/>
  <c r="B53" i="8"/>
  <c r="A53" i="8"/>
  <c r="B54" i="7"/>
  <c r="A54" i="8"/>
  <c r="Q56" i="6"/>
  <c r="R56" i="6" s="1"/>
  <c r="L56" i="6"/>
  <c r="J55" i="6"/>
  <c r="Q55" i="6" s="1"/>
  <c r="R55" i="6" s="1"/>
  <c r="L59" i="7"/>
  <c r="J54" i="6"/>
  <c r="L54" i="6" s="1"/>
  <c r="L58" i="7"/>
  <c r="J51" i="6"/>
  <c r="L51" i="6" s="1"/>
  <c r="C55" i="9"/>
  <c r="C54" i="9"/>
  <c r="L50" i="6"/>
  <c r="L49" i="6"/>
  <c r="L52" i="6"/>
  <c r="J47" i="9"/>
  <c r="K47" i="9"/>
  <c r="D47" i="9"/>
  <c r="E47" i="9"/>
  <c r="Q50" i="6"/>
  <c r="P45" i="6"/>
  <c r="P46" i="6"/>
  <c r="P47" i="6"/>
  <c r="O51" i="6"/>
  <c r="K45" i="6"/>
  <c r="K46" i="6"/>
  <c r="K47" i="6"/>
  <c r="K48" i="6"/>
  <c r="J46" i="6"/>
  <c r="Q46" i="6" s="1"/>
  <c r="J47" i="6"/>
  <c r="Q47" i="6" s="1"/>
  <c r="J48" i="6"/>
  <c r="Q49" i="6"/>
  <c r="R49" i="6" s="1"/>
  <c r="D45" i="6"/>
  <c r="F45" i="6" s="1"/>
  <c r="D46" i="6"/>
  <c r="F46" i="6" s="1"/>
  <c r="D47" i="6"/>
  <c r="F47" i="6" s="1"/>
  <c r="L48" i="8"/>
  <c r="M48" i="8"/>
  <c r="J49" i="8"/>
  <c r="J50" i="8"/>
  <c r="K50" i="8" s="1"/>
  <c r="J51" i="8"/>
  <c r="K51" i="8" s="1"/>
  <c r="K52" i="8"/>
  <c r="H49" i="8"/>
  <c r="H50" i="8"/>
  <c r="H51" i="8"/>
  <c r="H48" i="8"/>
  <c r="F48" i="7"/>
  <c r="F49" i="7"/>
  <c r="F50" i="7"/>
  <c r="F51" i="7"/>
  <c r="D48" i="8"/>
  <c r="J48" i="8" s="1"/>
  <c r="I47" i="7"/>
  <c r="I48" i="7"/>
  <c r="I49" i="7"/>
  <c r="I50" i="7"/>
  <c r="K49" i="3"/>
  <c r="K50" i="3"/>
  <c r="K51" i="3"/>
  <c r="K48" i="3"/>
  <c r="D44" i="6"/>
  <c r="F44" i="6" s="1"/>
  <c r="J46" i="9"/>
  <c r="K46" i="9"/>
  <c r="D46" i="9"/>
  <c r="E46" i="9"/>
  <c r="M47" i="8"/>
  <c r="L47" i="8"/>
  <c r="O47" i="7"/>
  <c r="O48" i="7"/>
  <c r="O49" i="7"/>
  <c r="O50" i="7"/>
  <c r="O51" i="7"/>
  <c r="L50" i="7"/>
  <c r="L51" i="7"/>
  <c r="J47" i="7"/>
  <c r="I47" i="8"/>
  <c r="H47" i="8"/>
  <c r="D47" i="8"/>
  <c r="N47" i="3"/>
  <c r="K47" i="3"/>
  <c r="C47" i="3"/>
  <c r="C7" i="6" s="1"/>
  <c r="C48" i="3"/>
  <c r="B47" i="3"/>
  <c r="B48" i="3"/>
  <c r="B7" i="6" l="1"/>
  <c r="B11" i="7"/>
  <c r="A11" i="8" s="1"/>
  <c r="B110" i="6"/>
  <c r="B113" i="9" s="1"/>
  <c r="B114" i="7"/>
  <c r="A114" i="8"/>
  <c r="C48" i="7"/>
  <c r="C44" i="6"/>
  <c r="C47" i="7"/>
  <c r="C43" i="6"/>
  <c r="A48" i="8"/>
  <c r="B44" i="6"/>
  <c r="B47" i="7"/>
  <c r="B43" i="6"/>
  <c r="Q51" i="6"/>
  <c r="R50" i="6"/>
  <c r="R47" i="6"/>
  <c r="Q54" i="6"/>
  <c r="R54" i="6" s="1"/>
  <c r="L55" i="6"/>
  <c r="L53" i="6"/>
  <c r="K44" i="6"/>
  <c r="A47" i="8"/>
  <c r="B48" i="8"/>
  <c r="B48" i="7"/>
  <c r="B47" i="8"/>
  <c r="H54" i="6"/>
  <c r="N54" i="6" s="1"/>
  <c r="B57" i="9"/>
  <c r="H53" i="6"/>
  <c r="N53" i="6" s="1"/>
  <c r="B56" i="9"/>
  <c r="R51" i="6"/>
  <c r="L46" i="6"/>
  <c r="L48" i="6"/>
  <c r="R46" i="6"/>
  <c r="Q48" i="6"/>
  <c r="R48" i="6" s="1"/>
  <c r="L47" i="6"/>
  <c r="I45" i="9"/>
  <c r="I46" i="9"/>
  <c r="I47" i="9"/>
  <c r="I48" i="9"/>
  <c r="I49" i="9"/>
  <c r="J45" i="9"/>
  <c r="K45" i="9"/>
  <c r="D45" i="9"/>
  <c r="E45" i="9"/>
  <c r="M46" i="8"/>
  <c r="L46" i="8"/>
  <c r="I46" i="7"/>
  <c r="H46" i="8"/>
  <c r="E47" i="8"/>
  <c r="E48" i="8"/>
  <c r="E49" i="8"/>
  <c r="E50" i="8"/>
  <c r="E51" i="8"/>
  <c r="D46" i="8"/>
  <c r="E46" i="8" s="1"/>
  <c r="K46" i="3"/>
  <c r="E44" i="9"/>
  <c r="H45" i="8"/>
  <c r="I45" i="7"/>
  <c r="C45" i="3"/>
  <c r="C46" i="3"/>
  <c r="B45" i="3"/>
  <c r="B46" i="3"/>
  <c r="J43" i="9"/>
  <c r="K43" i="9"/>
  <c r="I43" i="9"/>
  <c r="D43" i="9"/>
  <c r="F44" i="9"/>
  <c r="F46" i="9"/>
  <c r="F47" i="9"/>
  <c r="E43" i="9"/>
  <c r="M44" i="8"/>
  <c r="L44" i="8"/>
  <c r="N44" i="8" s="1"/>
  <c r="K44" i="7"/>
  <c r="K45" i="7"/>
  <c r="K46" i="7"/>
  <c r="L46" i="7" s="1"/>
  <c r="K47" i="7"/>
  <c r="L47" i="7" s="1"/>
  <c r="K48" i="7"/>
  <c r="K49" i="7"/>
  <c r="I44" i="7"/>
  <c r="H44" i="8"/>
  <c r="D44" i="7"/>
  <c r="D44" i="8"/>
  <c r="C44" i="8"/>
  <c r="I42" i="9"/>
  <c r="L44" i="9"/>
  <c r="L46" i="9"/>
  <c r="L47" i="9"/>
  <c r="L48" i="9"/>
  <c r="J42" i="9"/>
  <c r="K42" i="9"/>
  <c r="L42" i="9" s="1"/>
  <c r="I44" i="9"/>
  <c r="D42" i="9"/>
  <c r="E42" i="9"/>
  <c r="N45" i="8"/>
  <c r="N47" i="8"/>
  <c r="N48" i="8"/>
  <c r="N49" i="8"/>
  <c r="N50" i="8"/>
  <c r="N51" i="8"/>
  <c r="M43" i="8"/>
  <c r="L43" i="8"/>
  <c r="N43" i="8" s="1"/>
  <c r="J43" i="7"/>
  <c r="I43" i="8"/>
  <c r="H43" i="8"/>
  <c r="D43" i="8"/>
  <c r="B46" i="6" l="1"/>
  <c r="A50" i="8"/>
  <c r="B50" i="7"/>
  <c r="C50" i="7"/>
  <c r="C46" i="6"/>
  <c r="B50" i="8"/>
  <c r="A45" i="8"/>
  <c r="B41" i="6"/>
  <c r="C46" i="7"/>
  <c r="C42" i="6"/>
  <c r="B45" i="8"/>
  <c r="C41" i="6"/>
  <c r="B46" i="7"/>
  <c r="B42" i="6"/>
  <c r="F45" i="9"/>
  <c r="L43" i="9"/>
  <c r="F43" i="9"/>
  <c r="L45" i="9"/>
  <c r="B53" i="9"/>
  <c r="H50" i="6"/>
  <c r="N50" i="6" s="1"/>
  <c r="N46" i="8"/>
  <c r="A46" i="8"/>
  <c r="B46" i="8"/>
  <c r="B45" i="7"/>
  <c r="C45" i="7"/>
  <c r="H52" i="6"/>
  <c r="N52" i="6" s="1"/>
  <c r="B55" i="9"/>
  <c r="H49" i="6"/>
  <c r="N49" i="6" s="1"/>
  <c r="B52" i="9"/>
  <c r="H51" i="6"/>
  <c r="N51" i="6" s="1"/>
  <c r="B54" i="9"/>
  <c r="L48" i="7"/>
  <c r="J44" i="6"/>
  <c r="L44" i="6" s="1"/>
  <c r="J45" i="6"/>
  <c r="L49" i="7"/>
  <c r="N43" i="3"/>
  <c r="O44" i="3"/>
  <c r="P44" i="3" s="1"/>
  <c r="O45" i="3"/>
  <c r="P45" i="3" s="1"/>
  <c r="O46" i="3"/>
  <c r="P46" i="3" s="1"/>
  <c r="O47" i="3"/>
  <c r="P47" i="3" s="1"/>
  <c r="O48" i="3"/>
  <c r="P48" i="3" s="1"/>
  <c r="O49" i="3"/>
  <c r="P49" i="3" s="1"/>
  <c r="C43" i="3"/>
  <c r="C44" i="3"/>
  <c r="B43" i="3"/>
  <c r="B44" i="3"/>
  <c r="P39" i="6"/>
  <c r="P40" i="6"/>
  <c r="P41" i="6"/>
  <c r="P42" i="6"/>
  <c r="P43" i="6"/>
  <c r="P44" i="6"/>
  <c r="K39" i="6"/>
  <c r="K40" i="6"/>
  <c r="K41" i="6"/>
  <c r="K42" i="6"/>
  <c r="K43" i="6"/>
  <c r="J40" i="6"/>
  <c r="Q40" i="6" s="1"/>
  <c r="J41" i="6"/>
  <c r="Q41" i="6" s="1"/>
  <c r="J42" i="6"/>
  <c r="J43" i="6"/>
  <c r="Q43" i="6" s="1"/>
  <c r="D43" i="6"/>
  <c r="F43" i="6" s="1"/>
  <c r="D38" i="6"/>
  <c r="F38" i="6" s="1"/>
  <c r="D39" i="6"/>
  <c r="F39" i="6" s="1"/>
  <c r="D40" i="6"/>
  <c r="F40" i="6" s="1"/>
  <c r="D41" i="6"/>
  <c r="F41" i="6" s="1"/>
  <c r="D42" i="6"/>
  <c r="F42" i="6" s="1"/>
  <c r="F42" i="7"/>
  <c r="F43" i="7"/>
  <c r="F44" i="7"/>
  <c r="F45" i="7"/>
  <c r="F46" i="7"/>
  <c r="F47" i="7"/>
  <c r="H42" i="8"/>
  <c r="C42" i="3"/>
  <c r="B42" i="3"/>
  <c r="J40" i="9"/>
  <c r="K40" i="9"/>
  <c r="D40" i="9"/>
  <c r="E40" i="9"/>
  <c r="M41" i="8"/>
  <c r="L41" i="8"/>
  <c r="O42" i="7"/>
  <c r="O43" i="7"/>
  <c r="O44" i="7"/>
  <c r="O45" i="7"/>
  <c r="O46" i="7"/>
  <c r="K48" i="8"/>
  <c r="K49" i="8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D41" i="8"/>
  <c r="J41" i="8" s="1"/>
  <c r="K41" i="8" s="1"/>
  <c r="C41" i="3"/>
  <c r="B41" i="3"/>
  <c r="E38" i="9"/>
  <c r="J38" i="9"/>
  <c r="K38" i="9"/>
  <c r="B9" i="6" l="1"/>
  <c r="B13" i="7"/>
  <c r="A13" i="8" s="1"/>
  <c r="C38" i="6"/>
  <c r="C9" i="6"/>
  <c r="B51" i="8"/>
  <c r="C51" i="7"/>
  <c r="C47" i="6"/>
  <c r="B47" i="6"/>
  <c r="H47" i="6" s="1"/>
  <c r="N47" i="6" s="1"/>
  <c r="B51" i="7"/>
  <c r="A51" i="8"/>
  <c r="C41" i="7"/>
  <c r="C37" i="6"/>
  <c r="A43" i="8"/>
  <c r="B39" i="6"/>
  <c r="H39" i="6" s="1"/>
  <c r="N39" i="6" s="1"/>
  <c r="B43" i="8"/>
  <c r="C39" i="6"/>
  <c r="I39" i="6" s="1"/>
  <c r="O39" i="6" s="1"/>
  <c r="B41" i="7"/>
  <c r="B37" i="6"/>
  <c r="A42" i="8"/>
  <c r="B38" i="6"/>
  <c r="H38" i="6" s="1"/>
  <c r="C45" i="9"/>
  <c r="B45" i="9"/>
  <c r="L42" i="6"/>
  <c r="Q44" i="6"/>
  <c r="R44" i="6" s="1"/>
  <c r="I50" i="6"/>
  <c r="O50" i="6" s="1"/>
  <c r="C53" i="9"/>
  <c r="I49" i="6"/>
  <c r="O49" i="6" s="1"/>
  <c r="C52" i="9"/>
  <c r="Q45" i="6"/>
  <c r="R45" i="6" s="1"/>
  <c r="L45" i="6"/>
  <c r="I44" i="6"/>
  <c r="O44" i="6" s="1"/>
  <c r="C47" i="9"/>
  <c r="B47" i="9"/>
  <c r="H44" i="6"/>
  <c r="N44" i="6" s="1"/>
  <c r="C49" i="9"/>
  <c r="I46" i="6"/>
  <c r="O46" i="6" s="1"/>
  <c r="C50" i="9"/>
  <c r="I47" i="6"/>
  <c r="O47" i="6" s="1"/>
  <c r="B50" i="9"/>
  <c r="B49" i="9"/>
  <c r="H46" i="6"/>
  <c r="N46" i="6" s="1"/>
  <c r="R41" i="6"/>
  <c r="R40" i="6"/>
  <c r="H43" i="6"/>
  <c r="N43" i="6" s="1"/>
  <c r="B46" i="9"/>
  <c r="I43" i="6"/>
  <c r="O43" i="6" s="1"/>
  <c r="C46" i="9"/>
  <c r="R43" i="6"/>
  <c r="I42" i="6"/>
  <c r="O42" i="6" s="1"/>
  <c r="Q42" i="6"/>
  <c r="R42" i="6" s="1"/>
  <c r="I41" i="6"/>
  <c r="O41" i="6" s="1"/>
  <c r="L43" i="6"/>
  <c r="L41" i="6"/>
  <c r="L40" i="6"/>
  <c r="C42" i="7"/>
  <c r="B42" i="8"/>
  <c r="A41" i="8"/>
  <c r="B41" i="8"/>
  <c r="B42" i="7"/>
  <c r="B43" i="7"/>
  <c r="C43" i="7"/>
  <c r="D38" i="9"/>
  <c r="I41" i="7"/>
  <c r="I42" i="7"/>
  <c r="I43" i="7"/>
  <c r="H40" i="8"/>
  <c r="I40" i="7"/>
  <c r="E40" i="8"/>
  <c r="E41" i="8"/>
  <c r="E42" i="8"/>
  <c r="E43" i="8"/>
  <c r="E44" i="8"/>
  <c r="E45" i="8"/>
  <c r="C40" i="3"/>
  <c r="C36" i="6" s="1"/>
  <c r="B40" i="3"/>
  <c r="M39" i="8"/>
  <c r="L39" i="8"/>
  <c r="H41" i="8"/>
  <c r="H39" i="8"/>
  <c r="D39" i="8"/>
  <c r="B116" i="6" l="1"/>
  <c r="B119" i="9" s="1"/>
  <c r="A120" i="8"/>
  <c r="B120" i="7"/>
  <c r="A40" i="8"/>
  <c r="B36" i="6"/>
  <c r="H42" i="6"/>
  <c r="N42" i="6" s="1"/>
  <c r="C44" i="9"/>
  <c r="C40" i="7"/>
  <c r="B40" i="8"/>
  <c r="B40" i="7"/>
  <c r="K39" i="7"/>
  <c r="K42" i="7"/>
  <c r="K43" i="7"/>
  <c r="O40" i="3"/>
  <c r="P40" i="3" s="1"/>
  <c r="O41" i="3"/>
  <c r="P41" i="3" s="1"/>
  <c r="O42" i="3"/>
  <c r="P42" i="3" s="1"/>
  <c r="O43" i="3"/>
  <c r="P43" i="3" s="1"/>
  <c r="K40" i="3"/>
  <c r="K41" i="3"/>
  <c r="K42" i="3"/>
  <c r="K43" i="3"/>
  <c r="K44" i="3"/>
  <c r="K45" i="3"/>
  <c r="K39" i="3"/>
  <c r="O39" i="3"/>
  <c r="P39" i="3" s="1"/>
  <c r="C39" i="3"/>
  <c r="B39" i="3"/>
  <c r="I37" i="9"/>
  <c r="I38" i="9"/>
  <c r="I39" i="9"/>
  <c r="I40" i="9"/>
  <c r="I41" i="9"/>
  <c r="L38" i="9"/>
  <c r="L39" i="9"/>
  <c r="L40" i="9"/>
  <c r="L41" i="9"/>
  <c r="J37" i="9"/>
  <c r="K37" i="9"/>
  <c r="F38" i="9"/>
  <c r="F39" i="9"/>
  <c r="F40" i="9"/>
  <c r="F41" i="9"/>
  <c r="F42" i="9"/>
  <c r="D37" i="9"/>
  <c r="E37" i="9"/>
  <c r="N39" i="8"/>
  <c r="N40" i="8"/>
  <c r="N41" i="8"/>
  <c r="N42" i="8"/>
  <c r="M38" i="8"/>
  <c r="L38" i="8"/>
  <c r="N38" i="8" s="1"/>
  <c r="J39" i="8"/>
  <c r="K39" i="8" s="1"/>
  <c r="J40" i="8"/>
  <c r="K40" i="8" s="1"/>
  <c r="H38" i="8"/>
  <c r="O38" i="7"/>
  <c r="O39" i="7"/>
  <c r="O40" i="7"/>
  <c r="O41" i="7"/>
  <c r="L44" i="7"/>
  <c r="L45" i="7"/>
  <c r="K38" i="7"/>
  <c r="L38" i="7" s="1"/>
  <c r="K40" i="7"/>
  <c r="L40" i="7" s="1"/>
  <c r="K41" i="7"/>
  <c r="J37" i="6" s="1"/>
  <c r="D38" i="8"/>
  <c r="J38" i="8" s="1"/>
  <c r="K38" i="8" s="1"/>
  <c r="K38" i="3"/>
  <c r="O38" i="3"/>
  <c r="P38" i="3" s="1"/>
  <c r="C42" i="9"/>
  <c r="B41" i="9"/>
  <c r="B42" i="9"/>
  <c r="I36" i="9"/>
  <c r="L36" i="9"/>
  <c r="F36" i="9"/>
  <c r="B40" i="9"/>
  <c r="K35" i="6"/>
  <c r="K36" i="6"/>
  <c r="K37" i="6"/>
  <c r="K38" i="6"/>
  <c r="N38" i="6"/>
  <c r="P33" i="6"/>
  <c r="P35" i="6"/>
  <c r="P36" i="6"/>
  <c r="P37" i="6"/>
  <c r="P38" i="6"/>
  <c r="N37" i="8"/>
  <c r="O37" i="7"/>
  <c r="H37" i="8"/>
  <c r="K37" i="7"/>
  <c r="L37" i="7" s="1"/>
  <c r="E37" i="8"/>
  <c r="E39" i="8"/>
  <c r="J37" i="8"/>
  <c r="K37" i="8" s="1"/>
  <c r="B39" i="9"/>
  <c r="K37" i="3"/>
  <c r="O37" i="3"/>
  <c r="P37" i="3" s="1"/>
  <c r="C37" i="3"/>
  <c r="C38" i="3"/>
  <c r="C34" i="6" s="1"/>
  <c r="B37" i="3"/>
  <c r="B34" i="6"/>
  <c r="B39" i="8" l="1"/>
  <c r="C35" i="6"/>
  <c r="I35" i="6" s="1"/>
  <c r="O35" i="6" s="1"/>
  <c r="C37" i="7"/>
  <c r="C33" i="6"/>
  <c r="B37" i="7"/>
  <c r="B33" i="6"/>
  <c r="A39" i="8"/>
  <c r="B35" i="6"/>
  <c r="B38" i="9" s="1"/>
  <c r="L37" i="9"/>
  <c r="F37" i="9"/>
  <c r="P34" i="6"/>
  <c r="E38" i="8"/>
  <c r="K34" i="6"/>
  <c r="J34" i="6"/>
  <c r="Q34" i="6" s="1"/>
  <c r="H41" i="6"/>
  <c r="N41" i="6" s="1"/>
  <c r="B44" i="9"/>
  <c r="A37" i="8"/>
  <c r="L43" i="7"/>
  <c r="J39" i="6"/>
  <c r="C39" i="7"/>
  <c r="A38" i="8"/>
  <c r="B37" i="8"/>
  <c r="B38" i="7"/>
  <c r="B38" i="8"/>
  <c r="C38" i="7"/>
  <c r="B39" i="7"/>
  <c r="J38" i="6"/>
  <c r="Q38" i="6" s="1"/>
  <c r="R38" i="6" s="1"/>
  <c r="L42" i="7"/>
  <c r="L39" i="7"/>
  <c r="J35" i="6"/>
  <c r="Q35" i="6" s="1"/>
  <c r="R35" i="6" s="1"/>
  <c r="J36" i="6"/>
  <c r="Q36" i="6" s="1"/>
  <c r="R36" i="6" s="1"/>
  <c r="L41" i="7"/>
  <c r="Q37" i="6"/>
  <c r="R37" i="6" s="1"/>
  <c r="L37" i="6"/>
  <c r="I35" i="9"/>
  <c r="L35" i="9"/>
  <c r="F35" i="9"/>
  <c r="O36" i="7"/>
  <c r="N36" i="8"/>
  <c r="H36" i="8"/>
  <c r="F36" i="7"/>
  <c r="F37" i="7"/>
  <c r="F38" i="7"/>
  <c r="F39" i="7"/>
  <c r="F40" i="7"/>
  <c r="F41" i="7"/>
  <c r="K36" i="7"/>
  <c r="L36" i="7" s="1"/>
  <c r="J36" i="8"/>
  <c r="K36" i="8" s="1"/>
  <c r="K36" i="3"/>
  <c r="O36" i="3"/>
  <c r="P36" i="3" s="1"/>
  <c r="C36" i="3"/>
  <c r="B86" i="8" s="1"/>
  <c r="B36" i="3"/>
  <c r="I34" i="9"/>
  <c r="L34" i="9"/>
  <c r="F34" i="9"/>
  <c r="O35" i="7"/>
  <c r="N35" i="8"/>
  <c r="N34" i="8"/>
  <c r="H35" i="8"/>
  <c r="J35" i="8"/>
  <c r="K35" i="8" s="1"/>
  <c r="I35" i="7"/>
  <c r="K35" i="7"/>
  <c r="J31" i="6" s="1"/>
  <c r="K35" i="3"/>
  <c r="O35" i="3"/>
  <c r="P35" i="3" s="1"/>
  <c r="C35" i="3"/>
  <c r="B35" i="3"/>
  <c r="I33" i="9"/>
  <c r="L33" i="9"/>
  <c r="F33" i="9"/>
  <c r="K31" i="6"/>
  <c r="K32" i="6"/>
  <c r="K33" i="6"/>
  <c r="J32" i="6"/>
  <c r="J33" i="6"/>
  <c r="H36" i="6"/>
  <c r="N36" i="6" s="1"/>
  <c r="H37" i="6"/>
  <c r="N37" i="6" s="1"/>
  <c r="D30" i="6"/>
  <c r="F30" i="6" s="1"/>
  <c r="D31" i="6"/>
  <c r="F31" i="6" s="1"/>
  <c r="D32" i="6"/>
  <c r="F32" i="6" s="1"/>
  <c r="D33" i="6"/>
  <c r="F33" i="6" s="1"/>
  <c r="D34" i="6"/>
  <c r="F34" i="6" s="1"/>
  <c r="D35" i="6"/>
  <c r="F35" i="6" s="1"/>
  <c r="D36" i="6"/>
  <c r="F36" i="6" s="1"/>
  <c r="D37" i="6"/>
  <c r="F37" i="6" s="1"/>
  <c r="O34" i="7"/>
  <c r="I36" i="7"/>
  <c r="I37" i="7"/>
  <c r="I38" i="7"/>
  <c r="I39" i="7"/>
  <c r="I34" i="7"/>
  <c r="J34" i="8"/>
  <c r="K34" i="8" s="1"/>
  <c r="K34" i="7"/>
  <c r="L34" i="7" s="1"/>
  <c r="K34" i="3"/>
  <c r="O34" i="3"/>
  <c r="P34" i="3" s="1"/>
  <c r="I32" i="9"/>
  <c r="L32" i="9"/>
  <c r="F32" i="9"/>
  <c r="N33" i="8"/>
  <c r="O33" i="7"/>
  <c r="I33" i="7"/>
  <c r="K33" i="7"/>
  <c r="L33" i="7" s="1"/>
  <c r="J33" i="8"/>
  <c r="K33" i="8" s="1"/>
  <c r="K33" i="3"/>
  <c r="O33" i="3"/>
  <c r="P33" i="3" s="1"/>
  <c r="B82" i="6" l="1"/>
  <c r="B85" i="9" s="1"/>
  <c r="A86" i="8"/>
  <c r="B86" i="7"/>
  <c r="B129" i="7"/>
  <c r="B125" i="6"/>
  <c r="B128" i="9" s="1"/>
  <c r="A129" i="8"/>
  <c r="B36" i="7"/>
  <c r="B32" i="6"/>
  <c r="B35" i="7"/>
  <c r="B31" i="6"/>
  <c r="B36" i="8"/>
  <c r="C32" i="6"/>
  <c r="B35" i="8"/>
  <c r="C31" i="6"/>
  <c r="R34" i="6"/>
  <c r="L34" i="6"/>
  <c r="L35" i="7"/>
  <c r="L38" i="6"/>
  <c r="C35" i="7"/>
  <c r="A35" i="8"/>
  <c r="Q39" i="6"/>
  <c r="R39" i="6" s="1"/>
  <c r="L39" i="6"/>
  <c r="H35" i="6"/>
  <c r="N35" i="6" s="1"/>
  <c r="L36" i="6"/>
  <c r="A36" i="8"/>
  <c r="C36" i="7"/>
  <c r="C38" i="9"/>
  <c r="L35" i="6"/>
  <c r="I37" i="6"/>
  <c r="O37" i="6" s="1"/>
  <c r="C40" i="9"/>
  <c r="I36" i="6"/>
  <c r="O36" i="6" s="1"/>
  <c r="C39" i="9"/>
  <c r="L32" i="6"/>
  <c r="L33" i="6"/>
  <c r="I31" i="9"/>
  <c r="L31" i="9"/>
  <c r="F31" i="9"/>
  <c r="P29" i="6"/>
  <c r="P30" i="6"/>
  <c r="P31" i="6"/>
  <c r="P32" i="6"/>
  <c r="K29" i="6"/>
  <c r="K30" i="6"/>
  <c r="L31" i="6"/>
  <c r="J29" i="6"/>
  <c r="J30" i="6"/>
  <c r="N32" i="8"/>
  <c r="I32" i="7"/>
  <c r="F32" i="7"/>
  <c r="F33" i="7"/>
  <c r="F34" i="7"/>
  <c r="F35" i="7"/>
  <c r="K32" i="7"/>
  <c r="J28" i="6" s="1"/>
  <c r="E32" i="8"/>
  <c r="E33" i="8"/>
  <c r="E34" i="8"/>
  <c r="E35" i="8"/>
  <c r="E36" i="8"/>
  <c r="K32" i="3"/>
  <c r="O32" i="3"/>
  <c r="P32" i="3" s="1"/>
  <c r="C32" i="3"/>
  <c r="C33" i="3"/>
  <c r="C29" i="6" s="1"/>
  <c r="C34" i="3"/>
  <c r="B32" i="3"/>
  <c r="B33" i="3"/>
  <c r="B34" i="3"/>
  <c r="L30" i="9"/>
  <c r="I30" i="9"/>
  <c r="F30" i="9"/>
  <c r="N31" i="8"/>
  <c r="I31" i="7"/>
  <c r="K31" i="7"/>
  <c r="O31" i="3"/>
  <c r="P31" i="3" s="1"/>
  <c r="I29" i="9"/>
  <c r="L29" i="9"/>
  <c r="F29" i="9"/>
  <c r="N30" i="8"/>
  <c r="I30" i="7"/>
  <c r="K30" i="7"/>
  <c r="O30" i="3"/>
  <c r="P30" i="3" s="1"/>
  <c r="C30" i="3"/>
  <c r="C31" i="3"/>
  <c r="B30" i="3"/>
  <c r="B31" i="3"/>
  <c r="B40" i="6" l="1"/>
  <c r="B44" i="7"/>
  <c r="A44" i="8"/>
  <c r="B112" i="6"/>
  <c r="B115" i="9" s="1"/>
  <c r="B116" i="7"/>
  <c r="A116" i="8"/>
  <c r="B26" i="6"/>
  <c r="B52" i="7"/>
  <c r="A52" i="8"/>
  <c r="B48" i="6"/>
  <c r="C62" i="6"/>
  <c r="B66" i="8"/>
  <c r="C66" i="7"/>
  <c r="C44" i="7"/>
  <c r="B44" i="8"/>
  <c r="C40" i="6"/>
  <c r="B62" i="6"/>
  <c r="B66" i="7"/>
  <c r="A66" i="8"/>
  <c r="B52" i="8"/>
  <c r="C52" i="7"/>
  <c r="C48" i="6"/>
  <c r="B29" i="6"/>
  <c r="A126" i="8"/>
  <c r="B126" i="7"/>
  <c r="B122" i="6"/>
  <c r="B125" i="9" s="1"/>
  <c r="A32" i="8"/>
  <c r="B28" i="6"/>
  <c r="C30" i="7"/>
  <c r="C26" i="6"/>
  <c r="B31" i="7"/>
  <c r="B27" i="6"/>
  <c r="B31" i="8"/>
  <c r="C27" i="6"/>
  <c r="C32" i="7"/>
  <c r="C28" i="6"/>
  <c r="B37" i="9"/>
  <c r="B32" i="7"/>
  <c r="A31" i="8"/>
  <c r="B32" i="8"/>
  <c r="B33" i="8"/>
  <c r="C33" i="7"/>
  <c r="B30" i="7"/>
  <c r="A30" i="8"/>
  <c r="C31" i="7"/>
  <c r="A33" i="8"/>
  <c r="B33" i="7"/>
  <c r="B30" i="8"/>
  <c r="I34" i="6"/>
  <c r="O34" i="6" s="1"/>
  <c r="C37" i="9"/>
  <c r="L30" i="6"/>
  <c r="L29" i="6"/>
  <c r="I28" i="9"/>
  <c r="L28" i="9"/>
  <c r="F28" i="9"/>
  <c r="N29" i="8"/>
  <c r="H30" i="8"/>
  <c r="H31" i="8"/>
  <c r="H32" i="8"/>
  <c r="H33" i="8"/>
  <c r="H34" i="8"/>
  <c r="H29" i="8"/>
  <c r="K29" i="7"/>
  <c r="E29" i="8"/>
  <c r="E30" i="8"/>
  <c r="E31" i="8"/>
  <c r="O29" i="3"/>
  <c r="P29" i="3" s="1"/>
  <c r="C29" i="3"/>
  <c r="C25" i="6" s="1"/>
  <c r="B29" i="3"/>
  <c r="I27" i="9"/>
  <c r="L27" i="9"/>
  <c r="F27" i="9"/>
  <c r="N28" i="8"/>
  <c r="J28" i="8"/>
  <c r="K28" i="8" s="1"/>
  <c r="J29" i="8"/>
  <c r="K29" i="8" s="1"/>
  <c r="J30" i="8"/>
  <c r="K30" i="8" s="1"/>
  <c r="J31" i="8"/>
  <c r="K31" i="8" s="1"/>
  <c r="J32" i="8"/>
  <c r="K32" i="8" s="1"/>
  <c r="H28" i="8"/>
  <c r="K28" i="7"/>
  <c r="O28" i="3"/>
  <c r="C28" i="3"/>
  <c r="C24" i="6" s="1"/>
  <c r="B28" i="3"/>
  <c r="A34" i="8" s="1"/>
  <c r="B34" i="8" l="1"/>
  <c r="B65" i="9"/>
  <c r="H62" i="6"/>
  <c r="N62" i="6" s="1"/>
  <c r="C30" i="6"/>
  <c r="C51" i="9"/>
  <c r="I48" i="6"/>
  <c r="O48" i="6" s="1"/>
  <c r="B34" i="7"/>
  <c r="B30" i="6"/>
  <c r="B51" i="9"/>
  <c r="H48" i="6"/>
  <c r="N48" i="6" s="1"/>
  <c r="C34" i="7"/>
  <c r="I62" i="6"/>
  <c r="O62" i="6" s="1"/>
  <c r="C65" i="9"/>
  <c r="A140" i="8"/>
  <c r="B140" i="7"/>
  <c r="B136" i="6"/>
  <c r="B139" i="9" s="1"/>
  <c r="I40" i="6"/>
  <c r="O40" i="6" s="1"/>
  <c r="C43" i="9"/>
  <c r="B43" i="9"/>
  <c r="H40" i="6"/>
  <c r="N40" i="6" s="1"/>
  <c r="A29" i="8"/>
  <c r="B25" i="6"/>
  <c r="A28" i="8"/>
  <c r="B24" i="6"/>
  <c r="C29" i="7"/>
  <c r="C41" i="9"/>
  <c r="I38" i="6"/>
  <c r="O38" i="6" s="1"/>
  <c r="B28" i="7"/>
  <c r="B29" i="8"/>
  <c r="B28" i="8"/>
  <c r="C28" i="7"/>
  <c r="B29" i="7"/>
  <c r="I33" i="6"/>
  <c r="O33" i="6" s="1"/>
  <c r="C36" i="9"/>
  <c r="I32" i="6"/>
  <c r="O32" i="6" s="1"/>
  <c r="C35" i="9"/>
  <c r="I26" i="9"/>
  <c r="L26" i="9"/>
  <c r="F26" i="9"/>
  <c r="D23" i="6"/>
  <c r="F23" i="6" s="1"/>
  <c r="D24" i="6"/>
  <c r="F24" i="6" s="1"/>
  <c r="D25" i="6"/>
  <c r="F25" i="6" s="1"/>
  <c r="D26" i="6"/>
  <c r="F26" i="6" s="1"/>
  <c r="D27" i="6"/>
  <c r="F27" i="6" s="1"/>
  <c r="D28" i="6"/>
  <c r="F28" i="6" s="1"/>
  <c r="D29" i="6"/>
  <c r="F29" i="6" s="1"/>
  <c r="B30" i="9"/>
  <c r="B34" i="9"/>
  <c r="B35" i="9"/>
  <c r="H34" i="6"/>
  <c r="N34" i="6" s="1"/>
  <c r="N27" i="8"/>
  <c r="I27" i="7"/>
  <c r="K27" i="7"/>
  <c r="D27" i="8"/>
  <c r="J27" i="8" s="1"/>
  <c r="K28" i="3"/>
  <c r="K29" i="3"/>
  <c r="K27" i="3"/>
  <c r="O27" i="3"/>
  <c r="I25" i="9"/>
  <c r="L25" i="9"/>
  <c r="F25" i="9"/>
  <c r="K22" i="6"/>
  <c r="K23" i="6"/>
  <c r="K24" i="6"/>
  <c r="K25" i="6"/>
  <c r="K26" i="6"/>
  <c r="K27" i="6"/>
  <c r="K28" i="6"/>
  <c r="L28" i="6" s="1"/>
  <c r="J23" i="6"/>
  <c r="J24" i="6"/>
  <c r="J25" i="6"/>
  <c r="J26" i="6"/>
  <c r="J27" i="6"/>
  <c r="N26" i="8"/>
  <c r="H26" i="8"/>
  <c r="E26" i="8"/>
  <c r="E28" i="8"/>
  <c r="J26" i="8"/>
  <c r="O26" i="7"/>
  <c r="O27" i="7"/>
  <c r="O28" i="7"/>
  <c r="O29" i="7"/>
  <c r="O30" i="7"/>
  <c r="O31" i="7"/>
  <c r="O32" i="7"/>
  <c r="I28" i="7"/>
  <c r="I29" i="7"/>
  <c r="K26" i="3"/>
  <c r="I26" i="7"/>
  <c r="K30" i="3"/>
  <c r="K31" i="3"/>
  <c r="O26" i="3"/>
  <c r="K26" i="7"/>
  <c r="J22" i="6" s="1"/>
  <c r="C26" i="3"/>
  <c r="C22" i="6" s="1"/>
  <c r="C27" i="3"/>
  <c r="C23" i="6" s="1"/>
  <c r="B26" i="3"/>
  <c r="B27" i="3"/>
  <c r="I24" i="9"/>
  <c r="L24" i="9"/>
  <c r="N25" i="8"/>
  <c r="H27" i="8"/>
  <c r="O25" i="7"/>
  <c r="H25" i="8"/>
  <c r="I25" i="7"/>
  <c r="K25" i="7"/>
  <c r="J25" i="8"/>
  <c r="O25" i="3"/>
  <c r="C25" i="3"/>
  <c r="B25" i="3"/>
  <c r="I23" i="9"/>
  <c r="L23" i="9"/>
  <c r="O24" i="7"/>
  <c r="F24" i="7"/>
  <c r="F25" i="7"/>
  <c r="F26" i="7"/>
  <c r="F27" i="7"/>
  <c r="F28" i="7"/>
  <c r="F29" i="7"/>
  <c r="F30" i="7"/>
  <c r="F31" i="7"/>
  <c r="K24" i="7"/>
  <c r="H24" i="8"/>
  <c r="J24" i="8"/>
  <c r="C21" i="6" l="1"/>
  <c r="B89" i="8"/>
  <c r="B105" i="6"/>
  <c r="B108" i="9" s="1"/>
  <c r="A109" i="8"/>
  <c r="B109" i="7"/>
  <c r="B21" i="6"/>
  <c r="B85" i="6"/>
  <c r="B88" i="9" s="1"/>
  <c r="B89" i="7"/>
  <c r="A89" i="8"/>
  <c r="A128" i="8"/>
  <c r="B128" i="7"/>
  <c r="B124" i="6"/>
  <c r="B127" i="9" s="1"/>
  <c r="A27" i="8"/>
  <c r="B23" i="6"/>
  <c r="A26" i="8"/>
  <c r="B22" i="6"/>
  <c r="E27" i="8"/>
  <c r="L25" i="6"/>
  <c r="B27" i="8"/>
  <c r="C27" i="7"/>
  <c r="C26" i="7"/>
  <c r="B33" i="9"/>
  <c r="B26" i="8"/>
  <c r="B27" i="7"/>
  <c r="H33" i="6"/>
  <c r="N33" i="6" s="1"/>
  <c r="B36" i="9"/>
  <c r="H27" i="6"/>
  <c r="N27" i="6" s="1"/>
  <c r="I31" i="6"/>
  <c r="O31" i="6" s="1"/>
  <c r="C34" i="9"/>
  <c r="L24" i="6"/>
  <c r="L27" i="6"/>
  <c r="L23" i="6"/>
  <c r="H32" i="6"/>
  <c r="N32" i="6" s="1"/>
  <c r="L26" i="6"/>
  <c r="H31" i="6"/>
  <c r="N31" i="6" s="1"/>
  <c r="B31" i="9"/>
  <c r="H28" i="6"/>
  <c r="N28" i="6" s="1"/>
  <c r="B32" i="9"/>
  <c r="H29" i="6"/>
  <c r="N29" i="6" s="1"/>
  <c r="H26" i="6"/>
  <c r="N26" i="6" s="1"/>
  <c r="B29" i="9"/>
  <c r="B26" i="7"/>
  <c r="A25" i="8"/>
  <c r="B25" i="7"/>
  <c r="B25" i="8"/>
  <c r="C25" i="7"/>
  <c r="P25" i="3"/>
  <c r="P26" i="3"/>
  <c r="P27" i="3"/>
  <c r="P28" i="3"/>
  <c r="O24" i="3"/>
  <c r="P24" i="3" s="1"/>
  <c r="C24" i="3"/>
  <c r="C20" i="6" s="1"/>
  <c r="B24" i="3"/>
  <c r="I22" i="9"/>
  <c r="L22" i="9"/>
  <c r="Q22" i="6"/>
  <c r="Q23" i="6"/>
  <c r="Q24" i="6"/>
  <c r="Q25" i="6"/>
  <c r="Q26" i="6"/>
  <c r="Q27" i="6"/>
  <c r="Q28" i="6"/>
  <c r="Q29" i="6"/>
  <c r="R29" i="6" s="1"/>
  <c r="Q30" i="6"/>
  <c r="R30" i="6" s="1"/>
  <c r="Q31" i="6"/>
  <c r="R31" i="6" s="1"/>
  <c r="Q32" i="6"/>
  <c r="R32" i="6" s="1"/>
  <c r="Q33" i="6"/>
  <c r="R33" i="6" s="1"/>
  <c r="P19" i="6"/>
  <c r="P20" i="6"/>
  <c r="P21" i="6"/>
  <c r="P22" i="6"/>
  <c r="P23" i="6"/>
  <c r="P24" i="6"/>
  <c r="P25" i="6"/>
  <c r="P26" i="6"/>
  <c r="P27" i="6"/>
  <c r="P28" i="6"/>
  <c r="O23" i="7"/>
  <c r="H23" i="8"/>
  <c r="K23" i="7"/>
  <c r="J23" i="8"/>
  <c r="O23" i="3"/>
  <c r="C23" i="3"/>
  <c r="C19" i="6" s="1"/>
  <c r="B23" i="3"/>
  <c r="A117" i="8" l="1"/>
  <c r="B113" i="6"/>
  <c r="B116" i="9" s="1"/>
  <c r="B117" i="7"/>
  <c r="B20" i="6"/>
  <c r="A141" i="8"/>
  <c r="B137" i="6"/>
  <c r="B140" i="9" s="1"/>
  <c r="B141" i="7"/>
  <c r="A23" i="8"/>
  <c r="B19" i="6"/>
  <c r="R28" i="6"/>
  <c r="R24" i="6"/>
  <c r="R22" i="6"/>
  <c r="H30" i="6"/>
  <c r="N30" i="6" s="1"/>
  <c r="I30" i="6"/>
  <c r="O30" i="6" s="1"/>
  <c r="C33" i="9"/>
  <c r="R27" i="6"/>
  <c r="R23" i="6"/>
  <c r="C31" i="9"/>
  <c r="I28" i="6"/>
  <c r="O28" i="6" s="1"/>
  <c r="C32" i="9"/>
  <c r="I29" i="6"/>
  <c r="O29" i="6" s="1"/>
  <c r="R26" i="6"/>
  <c r="R25" i="6"/>
  <c r="H23" i="6"/>
  <c r="N23" i="6" s="1"/>
  <c r="B24" i="9"/>
  <c r="C23" i="7"/>
  <c r="B23" i="8"/>
  <c r="B24" i="8"/>
  <c r="C24" i="7"/>
  <c r="A24" i="8"/>
  <c r="B24" i="7"/>
  <c r="B23" i="7"/>
  <c r="H22" i="6"/>
  <c r="N22" i="6" s="1"/>
  <c r="I21" i="9"/>
  <c r="L21" i="9"/>
  <c r="D18" i="6"/>
  <c r="F18" i="6" s="1"/>
  <c r="D19" i="6"/>
  <c r="F19" i="6" s="1"/>
  <c r="D20" i="6"/>
  <c r="F20" i="6" s="1"/>
  <c r="D21" i="6"/>
  <c r="F21" i="6" s="1"/>
  <c r="D22" i="6"/>
  <c r="F22" i="6" s="1"/>
  <c r="H22" i="8"/>
  <c r="I23" i="7"/>
  <c r="I24" i="7"/>
  <c r="I22" i="7"/>
  <c r="K22" i="7"/>
  <c r="J22" i="8"/>
  <c r="K22" i="3"/>
  <c r="O22" i="3"/>
  <c r="C22" i="3"/>
  <c r="C18" i="6" s="1"/>
  <c r="B22" i="3"/>
  <c r="I20" i="9"/>
  <c r="L20" i="9"/>
  <c r="M21" i="7"/>
  <c r="K21" i="7"/>
  <c r="J17" i="6" s="1"/>
  <c r="E21" i="8"/>
  <c r="E22" i="8"/>
  <c r="E23" i="8"/>
  <c r="E24" i="8"/>
  <c r="E25" i="8"/>
  <c r="J21" i="8"/>
  <c r="O21" i="3"/>
  <c r="C21" i="3"/>
  <c r="B21" i="3"/>
  <c r="I19" i="9"/>
  <c r="L19" i="9"/>
  <c r="K17" i="6"/>
  <c r="K18" i="6"/>
  <c r="K19" i="6"/>
  <c r="K20" i="6"/>
  <c r="K21" i="6"/>
  <c r="J18" i="6"/>
  <c r="J19" i="6"/>
  <c r="Q19" i="6" s="1"/>
  <c r="J20" i="6"/>
  <c r="Q20" i="6" s="1"/>
  <c r="R20" i="6" s="1"/>
  <c r="J21" i="6"/>
  <c r="Q21" i="6" s="1"/>
  <c r="R21" i="6" s="1"/>
  <c r="K20" i="7"/>
  <c r="J16" i="6" s="1"/>
  <c r="E20" i="8"/>
  <c r="J20" i="8"/>
  <c r="K20" i="3"/>
  <c r="O20" i="3"/>
  <c r="C20" i="3"/>
  <c r="B20" i="3"/>
  <c r="I18" i="9"/>
  <c r="L18" i="9"/>
  <c r="I17" i="9"/>
  <c r="H20" i="8"/>
  <c r="H21" i="8"/>
  <c r="H19" i="8"/>
  <c r="K19" i="7"/>
  <c r="J19" i="8"/>
  <c r="K21" i="3"/>
  <c r="K23" i="3"/>
  <c r="K24" i="3"/>
  <c r="K25" i="3"/>
  <c r="K19" i="3"/>
  <c r="C19" i="3"/>
  <c r="B19" i="3"/>
  <c r="B45" i="6" l="1"/>
  <c r="A49" i="8"/>
  <c r="B49" i="7"/>
  <c r="B15" i="6"/>
  <c r="B94" i="6"/>
  <c r="B97" i="9" s="1"/>
  <c r="A98" i="8"/>
  <c r="B98" i="7"/>
  <c r="B49" i="8"/>
  <c r="C45" i="6"/>
  <c r="C49" i="7"/>
  <c r="B104" i="7"/>
  <c r="A104" i="8"/>
  <c r="B100" i="6"/>
  <c r="B103" i="9" s="1"/>
  <c r="C68" i="7"/>
  <c r="B68" i="8"/>
  <c r="C64" i="6"/>
  <c r="A68" i="8"/>
  <c r="B64" i="6"/>
  <c r="B68" i="7"/>
  <c r="C19" i="7"/>
  <c r="C15" i="6"/>
  <c r="B21" i="8"/>
  <c r="C17" i="6"/>
  <c r="A22" i="8"/>
  <c r="B18" i="6"/>
  <c r="B20" i="7"/>
  <c r="B16" i="6"/>
  <c r="B21" i="7"/>
  <c r="B17" i="6"/>
  <c r="B20" i="8"/>
  <c r="C16" i="6"/>
  <c r="C25" i="9"/>
  <c r="B26" i="9"/>
  <c r="I27" i="6"/>
  <c r="O27" i="6" s="1"/>
  <c r="C30" i="9"/>
  <c r="C29" i="9"/>
  <c r="I26" i="6"/>
  <c r="O26" i="6" s="1"/>
  <c r="H24" i="6"/>
  <c r="N24" i="6" s="1"/>
  <c r="B27" i="9"/>
  <c r="H25" i="6"/>
  <c r="N25" i="6" s="1"/>
  <c r="B28" i="9"/>
  <c r="A20" i="8"/>
  <c r="B25" i="9"/>
  <c r="C22" i="7"/>
  <c r="C24" i="9"/>
  <c r="B19" i="7"/>
  <c r="A19" i="8" s="1"/>
  <c r="B22" i="8"/>
  <c r="B22" i="7"/>
  <c r="B19" i="8"/>
  <c r="C21" i="7"/>
  <c r="A21" i="8"/>
  <c r="C20" i="7"/>
  <c r="H21" i="6"/>
  <c r="N21" i="6" s="1"/>
  <c r="L17" i="9"/>
  <c r="P14" i="6"/>
  <c r="P15" i="6"/>
  <c r="P16" i="6"/>
  <c r="P17" i="6"/>
  <c r="P18" i="6"/>
  <c r="C67" i="9" l="1"/>
  <c r="I64" i="6"/>
  <c r="O64" i="6" s="1"/>
  <c r="B67" i="9"/>
  <c r="H64" i="6"/>
  <c r="N64" i="6" s="1"/>
  <c r="I45" i="6"/>
  <c r="O45" i="6" s="1"/>
  <c r="C48" i="9"/>
  <c r="H45" i="6"/>
  <c r="N45" i="6" s="1"/>
  <c r="B48" i="9"/>
  <c r="C22" i="9"/>
  <c r="C27" i="9"/>
  <c r="I24" i="6"/>
  <c r="O24" i="6" s="1"/>
  <c r="C23" i="9"/>
  <c r="I19" i="7"/>
  <c r="I20" i="7"/>
  <c r="I21" i="7"/>
  <c r="I18" i="7"/>
  <c r="K18" i="3"/>
  <c r="K18" i="7"/>
  <c r="J18" i="8"/>
  <c r="B18" i="3"/>
  <c r="C18" i="3"/>
  <c r="B14" i="6" l="1"/>
  <c r="B11" i="6"/>
  <c r="B15" i="7"/>
  <c r="A15" i="8" s="1"/>
  <c r="C14" i="6"/>
  <c r="C11" i="6"/>
  <c r="C28" i="9"/>
  <c r="I25" i="6"/>
  <c r="O25" i="6" s="1"/>
  <c r="C26" i="9"/>
  <c r="I23" i="6"/>
  <c r="O23" i="6" s="1"/>
  <c r="B18" i="7"/>
  <c r="A18" i="8" s="1"/>
  <c r="C18" i="7"/>
  <c r="B18" i="8"/>
  <c r="I16" i="9"/>
  <c r="L16" i="9"/>
  <c r="K17" i="7"/>
  <c r="J17" i="8"/>
  <c r="C17" i="3"/>
  <c r="B17" i="3"/>
  <c r="I15" i="9"/>
  <c r="L15" i="9"/>
  <c r="K16" i="7"/>
  <c r="J16" i="8"/>
  <c r="A103" i="8" l="1"/>
  <c r="B103" i="7"/>
  <c r="B99" i="6"/>
  <c r="B102" i="9" s="1"/>
  <c r="B17" i="8"/>
  <c r="C13" i="6"/>
  <c r="C16" i="9" s="1"/>
  <c r="B13" i="6"/>
  <c r="B17" i="7"/>
  <c r="A17" i="8" s="1"/>
  <c r="I14" i="9"/>
  <c r="L15" i="8"/>
  <c r="I15" i="7"/>
  <c r="J15" i="8"/>
  <c r="K15" i="7"/>
  <c r="P20" i="3"/>
  <c r="P21" i="3"/>
  <c r="P22" i="3"/>
  <c r="P23" i="3"/>
  <c r="O15" i="3"/>
  <c r="O16" i="3"/>
  <c r="P16" i="3" s="1"/>
  <c r="O17" i="3"/>
  <c r="P17" i="3" s="1"/>
  <c r="O18" i="3"/>
  <c r="P18" i="3" s="1"/>
  <c r="O19" i="3"/>
  <c r="P19" i="3" s="1"/>
  <c r="Q16" i="6"/>
  <c r="Q17" i="6"/>
  <c r="Q18" i="6"/>
  <c r="I16" i="7"/>
  <c r="I17" i="7"/>
  <c r="I14" i="7"/>
  <c r="K14" i="7"/>
  <c r="C15" i="7"/>
  <c r="C17" i="7"/>
  <c r="J14" i="8"/>
  <c r="B15" i="8"/>
  <c r="O14" i="3"/>
  <c r="P14" i="3" s="1"/>
  <c r="C16" i="7"/>
  <c r="C14" i="3"/>
  <c r="C10" i="6" s="1"/>
  <c r="I19" i="6"/>
  <c r="O19" i="6" s="1"/>
  <c r="I20" i="6"/>
  <c r="O20" i="6" s="1"/>
  <c r="I21" i="6"/>
  <c r="O21" i="6" s="1"/>
  <c r="I22" i="6"/>
  <c r="O22" i="6" s="1"/>
  <c r="D9" i="6"/>
  <c r="F9" i="6" s="1"/>
  <c r="D10" i="6"/>
  <c r="F10" i="6" s="1"/>
  <c r="D11" i="6"/>
  <c r="F11" i="6" s="1"/>
  <c r="D12" i="6"/>
  <c r="F12" i="6" s="1"/>
  <c r="D13" i="6"/>
  <c r="F13" i="6" s="1"/>
  <c r="D14" i="6"/>
  <c r="F14" i="6" s="1"/>
  <c r="D15" i="6"/>
  <c r="F15" i="6" s="1"/>
  <c r="D16" i="6"/>
  <c r="F16" i="6" s="1"/>
  <c r="D17" i="6"/>
  <c r="F17" i="6" s="1"/>
  <c r="B17" i="9"/>
  <c r="I14" i="6"/>
  <c r="O14" i="6" s="1"/>
  <c r="C18" i="9"/>
  <c r="C19" i="9"/>
  <c r="C20" i="9"/>
  <c r="C7" i="9"/>
  <c r="C8" i="9"/>
  <c r="C9" i="9"/>
  <c r="C10" i="9"/>
  <c r="B7" i="9"/>
  <c r="B8" i="9"/>
  <c r="B9" i="9"/>
  <c r="B10" i="9"/>
  <c r="B14" i="9" l="1"/>
  <c r="B14" i="8"/>
  <c r="H18" i="6"/>
  <c r="N18" i="6" s="1"/>
  <c r="B21" i="9"/>
  <c r="I18" i="6"/>
  <c r="O18" i="6" s="1"/>
  <c r="C21" i="9"/>
  <c r="B23" i="9"/>
  <c r="H20" i="6"/>
  <c r="N20" i="6" s="1"/>
  <c r="B22" i="9"/>
  <c r="H19" i="6"/>
  <c r="N19" i="6" s="1"/>
  <c r="B20" i="9"/>
  <c r="H17" i="6"/>
  <c r="N17" i="6" s="1"/>
  <c r="B18" i="9"/>
  <c r="H15" i="6"/>
  <c r="N15" i="6" s="1"/>
  <c r="B19" i="9"/>
  <c r="H16" i="6"/>
  <c r="N16" i="6" s="1"/>
  <c r="C14" i="7"/>
  <c r="B16" i="8"/>
  <c r="I17" i="6"/>
  <c r="O17" i="6" s="1"/>
  <c r="I13" i="6"/>
  <c r="O13" i="6" s="1"/>
  <c r="H14" i="6"/>
  <c r="N14" i="6" s="1"/>
  <c r="I16" i="6"/>
  <c r="O16" i="6" s="1"/>
  <c r="C17" i="9"/>
  <c r="I15" i="6"/>
  <c r="O15" i="6" s="1"/>
  <c r="E13" i="8"/>
  <c r="E14" i="8"/>
  <c r="E15" i="8"/>
  <c r="E16" i="8"/>
  <c r="E17" i="8"/>
  <c r="E18" i="8"/>
  <c r="E19" i="8"/>
  <c r="J13" i="8"/>
  <c r="K13" i="7"/>
  <c r="C13" i="7"/>
  <c r="B13" i="8"/>
  <c r="K13" i="3"/>
  <c r="K14" i="3"/>
  <c r="K15" i="3"/>
  <c r="K16" i="3"/>
  <c r="K17" i="3"/>
  <c r="O13" i="3"/>
  <c r="P13" i="3" s="1"/>
  <c r="B16" i="9" l="1"/>
  <c r="H13" i="6"/>
  <c r="N13" i="6" s="1"/>
  <c r="I11" i="6"/>
  <c r="O11" i="6" s="1"/>
  <c r="C14" i="9"/>
  <c r="I10" i="6"/>
  <c r="O10" i="6" s="1"/>
  <c r="H11" i="6"/>
  <c r="N11" i="6" s="1"/>
  <c r="I10" i="9"/>
  <c r="I11" i="9"/>
  <c r="I12" i="9"/>
  <c r="I13" i="9"/>
  <c r="L10" i="9"/>
  <c r="L11" i="9"/>
  <c r="L12" i="9"/>
  <c r="L13" i="9"/>
  <c r="L14" i="9"/>
  <c r="F9" i="9"/>
  <c r="F10" i="9"/>
  <c r="P8" i="6"/>
  <c r="P9" i="6"/>
  <c r="P10" i="6"/>
  <c r="P11" i="6"/>
  <c r="P12" i="6"/>
  <c r="P13" i="6"/>
  <c r="K8" i="6"/>
  <c r="K9" i="6"/>
  <c r="K10" i="6"/>
  <c r="K11" i="6"/>
  <c r="K12" i="6"/>
  <c r="K13" i="6"/>
  <c r="K14" i="6"/>
  <c r="K15" i="6"/>
  <c r="K16" i="6"/>
  <c r="J9" i="6"/>
  <c r="Q9" i="6" s="1"/>
  <c r="J10" i="6"/>
  <c r="Q10" i="6" s="1"/>
  <c r="J11" i="6"/>
  <c r="Q11" i="6" s="1"/>
  <c r="J12" i="6"/>
  <c r="Q12" i="6" s="1"/>
  <c r="J13" i="6"/>
  <c r="Q13" i="6" s="1"/>
  <c r="J14" i="6"/>
  <c r="Q14" i="6" s="1"/>
  <c r="J15" i="6"/>
  <c r="Q15" i="6" s="1"/>
  <c r="D8" i="6"/>
  <c r="F8" i="6" s="1"/>
  <c r="H13" i="8"/>
  <c r="H14" i="8"/>
  <c r="H15" i="8"/>
  <c r="H16" i="8"/>
  <c r="H17" i="8"/>
  <c r="H12" i="8"/>
  <c r="I12" i="7"/>
  <c r="C11" i="9"/>
  <c r="B11" i="9"/>
  <c r="K12" i="3"/>
  <c r="I13" i="7"/>
  <c r="F12" i="7"/>
  <c r="K12" i="7"/>
  <c r="J8" i="6" s="1"/>
  <c r="E12" i="8"/>
  <c r="J12" i="8"/>
  <c r="K12" i="8" s="1"/>
  <c r="F12" i="3"/>
  <c r="O12" i="3"/>
  <c r="P12" i="3" s="1"/>
  <c r="O12" i="7"/>
  <c r="N12" i="8"/>
  <c r="C13" i="9" l="1"/>
  <c r="C15" i="9"/>
  <c r="I12" i="6"/>
  <c r="O12" i="6" s="1"/>
  <c r="B15" i="9"/>
  <c r="H12" i="6"/>
  <c r="N12" i="6" s="1"/>
  <c r="H10" i="6"/>
  <c r="N10" i="6" s="1"/>
  <c r="B13" i="9"/>
  <c r="L12" i="7"/>
  <c r="H8" i="6"/>
  <c r="B12" i="9"/>
  <c r="H9" i="6"/>
  <c r="N9" i="6" s="1"/>
  <c r="R9" i="6"/>
  <c r="R10" i="6"/>
  <c r="R11" i="6"/>
  <c r="R12" i="6"/>
  <c r="R13" i="6"/>
  <c r="R14" i="6"/>
  <c r="I9" i="7"/>
  <c r="I8" i="9"/>
  <c r="I9" i="9"/>
  <c r="L8" i="9"/>
  <c r="L9" i="9"/>
  <c r="L7" i="9"/>
  <c r="I7" i="9"/>
  <c r="K4" i="6"/>
  <c r="K5" i="6"/>
  <c r="N8" i="8"/>
  <c r="N9" i="8"/>
  <c r="I8" i="7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7" i="9"/>
  <c r="F8" i="9"/>
  <c r="P4" i="6"/>
  <c r="P5" i="6"/>
  <c r="P6" i="6"/>
  <c r="K6" i="6"/>
  <c r="I4" i="6"/>
  <c r="O4" i="6" s="1"/>
  <c r="I5" i="6"/>
  <c r="O5" i="6" s="1"/>
  <c r="I6" i="6"/>
  <c r="O6" i="6" s="1"/>
  <c r="E8" i="8"/>
  <c r="E9" i="8"/>
  <c r="E10" i="8"/>
  <c r="J8" i="8"/>
  <c r="J9" i="8"/>
  <c r="J10" i="8"/>
  <c r="N10" i="7"/>
  <c r="M10" i="7"/>
  <c r="K8" i="7"/>
  <c r="J4" i="6" s="1"/>
  <c r="Q4" i="6" s="1"/>
  <c r="K9" i="7"/>
  <c r="J5" i="6" s="1"/>
  <c r="Q5" i="6" s="1"/>
  <c r="K10" i="7"/>
  <c r="J6" i="6" s="1"/>
  <c r="Q6" i="6" s="1"/>
  <c r="I10" i="7"/>
  <c r="U8" i="3"/>
  <c r="O8" i="3"/>
  <c r="P8" i="3" s="1"/>
  <c r="O9" i="3"/>
  <c r="O10" i="3"/>
  <c r="I9" i="6" l="1"/>
  <c r="O9" i="6" s="1"/>
  <c r="C12" i="9"/>
  <c r="R6" i="6"/>
  <c r="R5" i="6"/>
  <c r="R4" i="6"/>
  <c r="R15" i="6"/>
  <c r="R16" i="6"/>
  <c r="R17" i="6"/>
  <c r="R18" i="6"/>
  <c r="R19" i="6"/>
  <c r="N10" i="8"/>
  <c r="N13" i="8"/>
  <c r="N14" i="8"/>
  <c r="N15" i="8"/>
  <c r="N16" i="8"/>
  <c r="N17" i="8"/>
  <c r="N18" i="8"/>
  <c r="N19" i="8"/>
  <c r="N20" i="8"/>
  <c r="N21" i="8"/>
  <c r="N22" i="8"/>
  <c r="N23" i="8"/>
  <c r="N24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8" i="8"/>
  <c r="K9" i="8"/>
  <c r="K10" i="8"/>
  <c r="H18" i="8"/>
  <c r="H8" i="8"/>
  <c r="H9" i="8"/>
  <c r="H10" i="8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4" i="6"/>
  <c r="L5" i="6"/>
  <c r="L6" i="6"/>
  <c r="I7" i="6"/>
  <c r="O7" i="6" s="1"/>
  <c r="L9" i="6"/>
  <c r="O8" i="7"/>
  <c r="O9" i="7"/>
  <c r="O10" i="7"/>
  <c r="O13" i="7"/>
  <c r="O14" i="7"/>
  <c r="O15" i="7"/>
  <c r="O16" i="7"/>
  <c r="O17" i="7"/>
  <c r="O18" i="7"/>
  <c r="O19" i="7"/>
  <c r="O20" i="7"/>
  <c r="O21" i="7"/>
  <c r="O2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8" i="7"/>
  <c r="L9" i="7"/>
  <c r="L10" i="7"/>
  <c r="F13" i="7"/>
  <c r="F14" i="7"/>
  <c r="F15" i="7"/>
  <c r="F16" i="7"/>
  <c r="F17" i="7"/>
  <c r="F18" i="7"/>
  <c r="F19" i="7"/>
  <c r="F20" i="7"/>
  <c r="F21" i="7"/>
  <c r="F22" i="7"/>
  <c r="F23" i="7"/>
  <c r="F8" i="7"/>
  <c r="F9" i="7"/>
  <c r="F10" i="7"/>
  <c r="D7" i="6"/>
  <c r="F7" i="6" s="1"/>
  <c r="D6" i="6"/>
  <c r="F6" i="6" s="1"/>
  <c r="D5" i="6"/>
  <c r="F5" i="6" s="1"/>
  <c r="D4" i="6"/>
  <c r="F4" i="6" s="1"/>
  <c r="I8" i="6"/>
  <c r="O8" i="6" s="1"/>
  <c r="N8" i="6"/>
  <c r="P15" i="3"/>
  <c r="P9" i="3"/>
  <c r="P10" i="3"/>
  <c r="K8" i="3"/>
  <c r="K9" i="3"/>
  <c r="K10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8" i="3"/>
  <c r="F9" i="3"/>
  <c r="F10" i="3"/>
  <c r="Q8" i="6" l="1"/>
  <c r="R8" i="6" s="1"/>
  <c r="L8" i="6"/>
  <c r="P7" i="6"/>
  <c r="H11" i="8"/>
  <c r="K7" i="6"/>
  <c r="K11" i="7"/>
  <c r="L11" i="7" s="1"/>
  <c r="I11" i="7"/>
  <c r="F11" i="7"/>
  <c r="N11" i="8"/>
  <c r="J11" i="8"/>
  <c r="K11" i="8" s="1"/>
  <c r="E11" i="8"/>
  <c r="O11" i="7"/>
  <c r="O11" i="3"/>
  <c r="P11" i="3" s="1"/>
  <c r="J7" i="6" l="1"/>
  <c r="L7" i="6" s="1"/>
  <c r="K11" i="3"/>
  <c r="F11" i="3"/>
  <c r="F145" i="3" l="1"/>
  <c r="F146" i="3"/>
  <c r="F144" i="3"/>
  <c r="Q7" i="6"/>
  <c r="R7" i="6" s="1"/>
</calcChain>
</file>

<file path=xl/comments1.xml><?xml version="1.0" encoding="utf-8"?>
<comments xmlns="http://schemas.openxmlformats.org/spreadsheetml/2006/main">
  <authors>
    <author>ASUS</author>
  </authors>
  <commentList>
    <comment ref="B8" authorId="0" shapeId="0">
      <text>
        <r>
          <rPr>
            <b/>
            <sz val="9"/>
            <color indexed="81"/>
            <rFont val="Tahoma"/>
            <charset val="1"/>
          </rPr>
          <t xml:space="preserve">ASUS:
</t>
        </r>
        <r>
          <rPr>
            <sz val="9"/>
            <color indexed="81"/>
            <rFont val="Tahoma"/>
            <family val="2"/>
          </rPr>
          <t>suatu perusahaan yang memiliki
perusahaan-perusahaan cabang, subsidiary, yang melakukan kegiatan-kegiatan
dagang atau ekonomi yang cukup besar untuk negara-negara penerima di luar negara
yang perusahaan induknya memiliki pengawasan atau pengambil keputusan. (Berthold Goldman, the repporteur of the Committee on
multinational enterprises of the institute de Droit International)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B5" authorId="0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Amidu, 2019. </t>
        </r>
      </text>
    </comment>
  </commentList>
</comments>
</file>

<file path=xl/comments3.xml><?xml version="1.0" encoding="utf-8"?>
<comments xmlns="http://schemas.openxmlformats.org/spreadsheetml/2006/main">
  <authors>
    <author>ASUS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Net Sales, Based on Thomas et. al. (1991)</t>
        </r>
      </text>
    </comment>
    <comment ref="I7" authorId="0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Cari di Annual Report/ ringkasan harga saham idx.co.id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Find out this on: Statistik of idx.co.id/ indopremier</t>
        </r>
      </text>
    </comment>
    <comment ref="O7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Net Sales, Based on Dyreng et al, 2010</t>
        </r>
      </text>
    </comment>
  </commentList>
</comments>
</file>

<file path=xl/comments4.xml><?xml version="1.0" encoding="utf-8"?>
<comments xmlns="http://schemas.openxmlformats.org/spreadsheetml/2006/main">
  <authors>
    <author>ASUS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Find out this on Annual Report 2019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ASUS:F
Find out this on Financing Yahoo!</t>
        </r>
      </text>
    </comment>
  </commentList>
</comments>
</file>

<file path=xl/comments5.xml><?xml version="1.0" encoding="utf-8"?>
<comments xmlns="http://schemas.openxmlformats.org/spreadsheetml/2006/main">
  <authors>
    <author>ASUS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Kas yg dibayarkan untuk setiap penghasilan yg diterima, Based on Ferdiawan, 2017</t>
        </r>
      </text>
    </comment>
    <comment ref="J6" authorId="0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Cari rincian pembayaran pajaknya</t>
        </r>
      </text>
    </comment>
  </commentList>
</comments>
</file>

<file path=xl/sharedStrings.xml><?xml version="1.0" encoding="utf-8"?>
<sst xmlns="http://schemas.openxmlformats.org/spreadsheetml/2006/main" count="6272" uniqueCount="1059">
  <si>
    <t>Var. X1</t>
  </si>
  <si>
    <t>: Koneksi Politik</t>
  </si>
  <si>
    <t>Alat Ukur</t>
  </si>
  <si>
    <t>: Variabel dummy</t>
  </si>
  <si>
    <t>Kriteria (min. salah satu)</t>
  </si>
  <si>
    <t xml:space="preserve">Kode </t>
  </si>
  <si>
    <t>Nama Perusahaan</t>
  </si>
  <si>
    <t>Tahun</t>
  </si>
  <si>
    <t>Kriteria yg terpenuhi</t>
  </si>
  <si>
    <t>Nilai</t>
  </si>
  <si>
    <t>Nama ybs</t>
  </si>
  <si>
    <t>Keterangan</t>
  </si>
  <si>
    <t>a</t>
  </si>
  <si>
    <t>b</t>
  </si>
  <si>
    <t>c</t>
  </si>
  <si>
    <t>AALI</t>
  </si>
  <si>
    <t>ASTRA AGRO LESTARI</t>
  </si>
  <si>
    <t>X</t>
  </si>
  <si>
    <t>Soemadi D. M. Brotodinigrat</t>
  </si>
  <si>
    <t>Ex Kementerian LN</t>
  </si>
  <si>
    <t>Shidarta Utama</t>
  </si>
  <si>
    <t>Ex Anggota Komite Pengawas Pajak di Kemenkeu RI</t>
  </si>
  <si>
    <t>ANJT</t>
  </si>
  <si>
    <t>AUSTINDO NUSANTARA JAYA</t>
  </si>
  <si>
    <t>BISI</t>
  </si>
  <si>
    <t>BISI INTERNATIONAL</t>
  </si>
  <si>
    <t>-</t>
  </si>
  <si>
    <t>BSP</t>
  </si>
  <si>
    <t>BAKRIE SUMATERA PLANTATIONS</t>
  </si>
  <si>
    <t>Var. X2</t>
  </si>
  <si>
    <t>:Transfer Pricing</t>
  </si>
  <si>
    <t>a.</t>
  </si>
  <si>
    <t>b.</t>
  </si>
  <si>
    <t>c.</t>
  </si>
  <si>
    <t>d.</t>
  </si>
  <si>
    <t xml:space="preserve">Memiliki transaksi dengan pihak terkait yang berlokasi di suatu negara dengan tarif pajak yang berbeda; dan </t>
  </si>
  <si>
    <t>e.</t>
  </si>
  <si>
    <t>Pembayaran royalti terkait aset tak berwujud antara pihak-pihak terkait.</t>
  </si>
  <si>
    <t>Nama Perusahaan Relasi</t>
  </si>
  <si>
    <t>d</t>
  </si>
  <si>
    <t>e</t>
  </si>
  <si>
    <t>Var. X3</t>
  </si>
  <si>
    <t>: Strategi Bisnis</t>
  </si>
  <si>
    <t>: Rasio</t>
  </si>
  <si>
    <t>Periode 2017</t>
  </si>
  <si>
    <t>EMP/SALES</t>
  </si>
  <si>
    <t>M to B</t>
  </si>
  <si>
    <t>PPEINT</t>
  </si>
  <si>
    <t>Periode 2018</t>
  </si>
  <si>
    <t>BV per lembar saham</t>
  </si>
  <si>
    <t>Jumlah karyawan</t>
  </si>
  <si>
    <t>Total Penjualan</t>
  </si>
  <si>
    <t>Market value stock</t>
  </si>
  <si>
    <t>Advertising expense</t>
  </si>
  <si>
    <t>Total Sales</t>
  </si>
  <si>
    <t>Total Assets</t>
  </si>
  <si>
    <t>Total fixed assets</t>
  </si>
  <si>
    <t>BWPT</t>
  </si>
  <si>
    <t>PT EAGLE HIGH PLANTATIONS</t>
  </si>
  <si>
    <t>1)</t>
  </si>
  <si>
    <t>2)</t>
  </si>
  <si>
    <t>3)</t>
  </si>
  <si>
    <t>Yohanes Wahyu Saronto</t>
  </si>
  <si>
    <t xml:space="preserve">Ex Kepala Kepolisian DIY, ex. Direktu Intelkam POLRI </t>
  </si>
  <si>
    <t xml:space="preserve">Green Eagle Holdings Pte. Ltd.  &amp; Green Eagle Singapore Pte. Ltd. </t>
  </si>
  <si>
    <r>
      <t>Total Sales</t>
    </r>
    <r>
      <rPr>
        <b/>
        <sz val="9"/>
        <color theme="1"/>
        <rFont val="Calibri"/>
        <family val="2"/>
        <scheme val="major"/>
      </rPr>
      <t xml:space="preserve"> t</t>
    </r>
  </si>
  <si>
    <r>
      <t xml:space="preserve">Total Sales </t>
    </r>
    <r>
      <rPr>
        <b/>
        <sz val="10"/>
        <color theme="1"/>
        <rFont val="Calibri"/>
        <family val="2"/>
        <scheme val="major"/>
      </rPr>
      <t>t-1</t>
    </r>
  </si>
  <si>
    <t>(D - E)/ E</t>
  </si>
  <si>
    <t>Sales Growth Ratio 2017</t>
  </si>
  <si>
    <t>Sales Growth Ratio 2018</t>
  </si>
  <si>
    <t>Sales Growth Ratio 2019</t>
  </si>
  <si>
    <t>DSFI</t>
  </si>
  <si>
    <t>PT DHARMA SAMUDERA FISHING INDUSTRIES</t>
  </si>
  <si>
    <t>Periode 2019</t>
  </si>
  <si>
    <t>DSNG</t>
  </si>
  <si>
    <t>DHARMA SATYA NUSANTARA</t>
  </si>
  <si>
    <t>Variabel Dependen</t>
  </si>
  <si>
    <t xml:space="preserve">: Agresivitas Pajak </t>
  </si>
  <si>
    <t xml:space="preserve">Kas yang dibayarkan untuk pajak it </t>
  </si>
  <si>
    <t>: CETR =</t>
  </si>
  <si>
    <t>Kas yg dibayarkan untuk pajak</t>
  </si>
  <si>
    <t>CETR</t>
  </si>
  <si>
    <t>Sampel Penelitian</t>
  </si>
  <si>
    <t>: Perusahaan yang terdaftar di BEI periode 2017- 2019</t>
  </si>
  <si>
    <t>Metode Pemilihan</t>
  </si>
  <si>
    <t>Kriteria</t>
  </si>
  <si>
    <t xml:space="preserve">Terdapat laporan tahunan dan laporan keuangan tahunan selama 3 (tiga) tahun berturut turut, yaitu tahun 2017 - 2019 yang dapat diakses dari situs BEI atau dari situs perusahaan. </t>
  </si>
  <si>
    <t>Perusahaan non-keuangan.</t>
  </si>
  <si>
    <t xml:space="preserve">Perusahaan papan utama pada BEI, kriteria ini digunakan karena perusahaan yang masuk ke dalam papan utama memiliki laporan keuangan teraudit sekurang-kurangnya 3 tahun. </t>
  </si>
  <si>
    <r>
      <rPr>
        <sz val="11"/>
        <color theme="1"/>
        <rFont val="Calibri"/>
        <family val="2"/>
        <scheme val="major"/>
      </rPr>
      <t>:</t>
    </r>
    <r>
      <rPr>
        <i/>
        <sz val="11"/>
        <color theme="1"/>
        <rFont val="Calibri"/>
        <family val="2"/>
        <scheme val="major"/>
      </rPr>
      <t xml:space="preserve"> Purposive Sampling</t>
    </r>
  </si>
  <si>
    <t xml:space="preserve">Jumlah sampel yang digunakan setelah melakukan penyaringan dengan kriteria yang telah ditentukan: </t>
  </si>
  <si>
    <t>Perusahaan keuangan</t>
  </si>
  <si>
    <t>Perusahaan yang tidak termasuk papan utama; papan akselerasi dan berkembang.</t>
  </si>
  <si>
    <t>Bukan perusahaan Multinasional</t>
  </si>
  <si>
    <t>Yang bukan perusahaan Multinasional</t>
  </si>
  <si>
    <t>Astra KLK Pte, Ltd.</t>
  </si>
  <si>
    <t>Indogreen International B.V.</t>
  </si>
  <si>
    <t>Berkedudukan di Thailand (20%)</t>
  </si>
  <si>
    <t>Berkedudukan di Belanda (25%)</t>
  </si>
  <si>
    <t>Penghasilan (Rugi) sebelum pajak it</t>
  </si>
  <si>
    <t>Penghasilan (Rugi) sebelum pajak</t>
  </si>
  <si>
    <t>Twin Palm Pte. Ltd.</t>
  </si>
  <si>
    <t>GZCO</t>
  </si>
  <si>
    <t>GOZCO INDONESIA</t>
  </si>
  <si>
    <t>JAWA</t>
  </si>
  <si>
    <t>JAYA AGRA WATTIE</t>
  </si>
  <si>
    <t>LSIP</t>
  </si>
  <si>
    <t>PT PP LONDON SUMATRA INDONESIA</t>
  </si>
  <si>
    <t>LONSUM SINGAPORE PTE., LTD.</t>
  </si>
  <si>
    <t>AGRI INVESTMENTS PTE., LTD.</t>
  </si>
  <si>
    <t>SUMATRA BIOSCIENCE PTE., LTD.</t>
  </si>
  <si>
    <t>PT PP LONDON SUMATERA INDONESIA</t>
  </si>
  <si>
    <t>SGRO</t>
  </si>
  <si>
    <t>SAMPOERNA AGRO TBK</t>
  </si>
  <si>
    <t>SAMPOERNA PALMA PTE., LTD</t>
  </si>
  <si>
    <t>SIMP</t>
  </si>
  <si>
    <t>SALIM IVOMAS PRATAMA Tbk</t>
  </si>
  <si>
    <t>SAMPOERNA AGRO Tbk</t>
  </si>
  <si>
    <t>INDOFOOD AGRI RESOURCES LTD.</t>
  </si>
  <si>
    <t>SSMS</t>
  </si>
  <si>
    <t>SAWIT SUMBERMAS SARANA</t>
  </si>
  <si>
    <r>
      <t>1)</t>
    </r>
    <r>
      <rPr>
        <sz val="7"/>
        <color theme="1"/>
        <rFont val="Calibri"/>
        <family val="2"/>
        <scheme val="major"/>
      </rPr>
      <t xml:space="preserve">      </t>
    </r>
    <r>
      <rPr>
        <sz val="12"/>
        <color theme="1"/>
        <rFont val="Calibri"/>
        <family val="2"/>
        <scheme val="major"/>
      </rPr>
      <t>Salah satu direktur atau komisaris merupakan anggota parlemen atau anggota kabinet eksekutif atau pejabat pada institusi pemerintah termasuk militer, ataupun anggota partai politik;</t>
    </r>
  </si>
  <si>
    <r>
      <t>2)</t>
    </r>
    <r>
      <rPr>
        <sz val="7"/>
        <color rgb="FF000000"/>
        <rFont val="Calibri"/>
        <family val="2"/>
        <scheme val="major"/>
      </rPr>
      <t xml:space="preserve">      </t>
    </r>
    <r>
      <rPr>
        <sz val="12"/>
        <color theme="1"/>
        <rFont val="Calibri"/>
        <family val="2"/>
        <scheme val="major"/>
      </rPr>
      <t>salah satu direktur atau komisaris merupakan mantan anggota parlemen atau anggota kabinet eksekutif atau pejabat pada institusi pemerintah termasuk militer, ataupun mantan anggota partai politik;</t>
    </r>
  </si>
  <si>
    <t>SSMS PLANTATION HOLDING Pte. Ltd</t>
  </si>
  <si>
    <t>SAWIT SUMBERMAS INTERNATIONAL, PTE. LTD</t>
  </si>
  <si>
    <t xml:space="preserve">Perusahaan yang tidak memiliki laporan tahunan dan laporan keuangan tahunan selama 3 (tiga) tahun berturut turut, yaitu tahun 2017 - 2019 yang dapat diakses dari situs BEI atau dari situs perusahaan. </t>
  </si>
  <si>
    <t>Yang Annual Report atau Laporan keuangan nya tidak lengkap 3 periode</t>
  </si>
  <si>
    <t>MGRO</t>
  </si>
  <si>
    <t>Mahkota Group</t>
  </si>
  <si>
    <t xml:space="preserve">PGUN </t>
  </si>
  <si>
    <t>Pradiksi Gunatama</t>
  </si>
  <si>
    <t>UNSP</t>
  </si>
  <si>
    <t>AISA</t>
  </si>
  <si>
    <t>PT TIGA PILAR SEJAHTERA</t>
  </si>
  <si>
    <t>ALTO</t>
  </si>
  <si>
    <t>PT TRI BANYAN TIRTA</t>
  </si>
  <si>
    <t>BUDI</t>
  </si>
  <si>
    <t>BUDI STARCH &amp; SWEETENER</t>
  </si>
  <si>
    <t>CAMP</t>
  </si>
  <si>
    <t>PT CAMPINA ICE CREAM INDUSTRY</t>
  </si>
  <si>
    <t>DMND</t>
  </si>
  <si>
    <t>Diamond Food Indonesia</t>
  </si>
  <si>
    <t>CEKA</t>
  </si>
  <si>
    <t>WILMAR CAHAYA INDONESIA</t>
  </si>
  <si>
    <t>WILMAR TRADING PTE., LTD &amp; Raffles Shipping International Pte. Ltd.</t>
  </si>
  <si>
    <t>CLEO</t>
  </si>
  <si>
    <t>PT SARIGUNA PRIMATIRTA</t>
  </si>
  <si>
    <t>DLTA</t>
  </si>
  <si>
    <t xml:space="preserve">PT DELTA DJAKARTA </t>
  </si>
  <si>
    <t>DVLA</t>
  </si>
  <si>
    <t>DARYA VARIA LABORATORIA</t>
  </si>
  <si>
    <t>Blue Sphere Singapore PTE LTD</t>
  </si>
  <si>
    <t>GOOD</t>
  </si>
  <si>
    <t>Garuda Food Putra Putri Jaya</t>
  </si>
  <si>
    <t>GGRM</t>
  </si>
  <si>
    <t>PT GUDANG GARAM</t>
  </si>
  <si>
    <t>Galaxy Prime Ltd</t>
  </si>
  <si>
    <t>Prime Galaxy Ltd</t>
  </si>
  <si>
    <t>HMSP</t>
  </si>
  <si>
    <t>PT HANJAYA MANDALA SAMPOERNA</t>
  </si>
  <si>
    <t xml:space="preserve"> Philip Morris Limited</t>
  </si>
  <si>
    <t xml:space="preserve">Sampoerna International Pte. Ltd,
</t>
  </si>
  <si>
    <t>HOKI</t>
  </si>
  <si>
    <t>PT BUYUNG POETRA SEMBADA</t>
  </si>
  <si>
    <t>HRTA</t>
  </si>
  <si>
    <t>PT HARTADINATA</t>
  </si>
  <si>
    <t>Dibeberapa negara yg bertarif pajak lebih rendah, beberapa diantaranya Swiss (18%) dan Malaysia (24%)</t>
  </si>
  <si>
    <t>ICBP</t>
  </si>
  <si>
    <t>INDOFOOD CBP SUKSES MAKMUR</t>
  </si>
  <si>
    <t>Drayton Pte. Ltd. (Drayton)</t>
  </si>
  <si>
    <t>Indofood (M) Food Industries Sdn. Bhd.</t>
  </si>
  <si>
    <t>Berkedudukan di Malaysia (24%)</t>
  </si>
  <si>
    <t>Adkoturk Gida Sanayi Ve Ticaret Ltd Sirketi (AGS)</t>
  </si>
  <si>
    <t>Berkedudukan di Turki (22%)</t>
  </si>
  <si>
    <t>INAF</t>
  </si>
  <si>
    <t>PT INDOFARMA</t>
  </si>
  <si>
    <t>INDF</t>
  </si>
  <si>
    <t>PT INDOFOOD SUKSES MAKMUR</t>
  </si>
  <si>
    <t>Pacsari Pte. Ltd.</t>
  </si>
  <si>
    <t>KAEF</t>
  </si>
  <si>
    <t>PT KIMIA FARMA</t>
  </si>
  <si>
    <t>KICI</t>
  </si>
  <si>
    <t>PT KEDAUNG INDAH CAN</t>
  </si>
  <si>
    <t>D.K. LIM &amp; SONS INVESTMENT PTE. LTD.</t>
  </si>
  <si>
    <t>KLBF</t>
  </si>
  <si>
    <t>PT KALBE FARMA</t>
  </si>
  <si>
    <t>Innogene Kalbiotech Pte Ltd.; Kalbe Vision Pte. Ltd.; Kalbe International Pte. Ltd.; Kalbe Global Pte. Ltd.</t>
  </si>
  <si>
    <t>Eastern Beautypelago Pte. Ltd</t>
  </si>
  <si>
    <t>MBTO</t>
  </si>
  <si>
    <t>PT MARTINA BERTO</t>
  </si>
  <si>
    <t>KINO</t>
  </si>
  <si>
    <t>PT KINO INDONESIA</t>
  </si>
  <si>
    <t>PT Kino International Pte. Ltd.; Kino Care Sdn. Bhd.; Kino Vietnam Co., Ltd.</t>
  </si>
  <si>
    <t>MLBI</t>
  </si>
  <si>
    <t>PT MULTI BINTANG INDONESIA</t>
  </si>
  <si>
    <t>Heineken Asia Pacific Pte Ltd., Cambodia Brewery Limited, Heineken Beverages Switzerland A.G. Heineken Timor, S.A</t>
  </si>
  <si>
    <t>MRAT</t>
  </si>
  <si>
    <t>PT MUSTIKA RATU</t>
  </si>
  <si>
    <t>Mustika Ratu Sdn. Bhd.</t>
  </si>
  <si>
    <t>MYOR</t>
  </si>
  <si>
    <t>PT MAYORA INDAH</t>
  </si>
  <si>
    <t>Inbisco; Sun Resources Food Com. Ltd; Sun Resources Food Com. Ltd; You Yi Jia (Hong Kong) Food Trading Co. Ltd</t>
  </si>
  <si>
    <t>Berkedudukan di Thailand (20%); Vietnam (20%); Hong Kong (16,5%).</t>
  </si>
  <si>
    <t>PEHA</t>
  </si>
  <si>
    <t>PT PHAPROS</t>
  </si>
  <si>
    <t>RMBA</t>
  </si>
  <si>
    <t>PT BENTOEL INTERNASIONAL INVESTAMA</t>
  </si>
  <si>
    <t>British American Tobacco Marketing Pte Ltd.; CTBAT International Co.Ltd</t>
  </si>
  <si>
    <t>ROTI</t>
  </si>
  <si>
    <t>PT NIPPON INDOSARI CORPINDO</t>
  </si>
  <si>
    <t>SIDO</t>
  </si>
  <si>
    <t>PT INDUSTRI JAMU DAN FARMASI SIDO MUNCUL</t>
  </si>
  <si>
    <t>TBLA</t>
  </si>
  <si>
    <t>PT TUNAS BARU LAMPUNG</t>
  </si>
  <si>
    <t>TBLA International Pte. Ltd - Holding; Tunas Baru International Pte. Ltd - Subsidiaries</t>
  </si>
  <si>
    <t>TCID</t>
  </si>
  <si>
    <t>PT MANDOM INDONESIA</t>
  </si>
  <si>
    <t>Mandom Sdn. Bhd.; Mandom Corporation Ltd.; Mandom Vietnam Company Limited.</t>
  </si>
  <si>
    <t>Berkedudukan di Malaysia (24%); Thailand (20%); Vietnam (20%).</t>
  </si>
  <si>
    <t>TSPC</t>
  </si>
  <si>
    <t>PT TEMPO SCAN PACIFIC</t>
  </si>
  <si>
    <t>International Beauty Products Ltd.; Tempo Scan Pacific Malaysa Sdn. Bhd.</t>
  </si>
  <si>
    <t>Berkedudukan di Thailand (20%); Malaysia (24%).</t>
  </si>
  <si>
    <t>UNVR</t>
  </si>
  <si>
    <t>PT UNILEVER INDONESIA</t>
  </si>
  <si>
    <t xml:space="preserve">Unilever Asia Private Limited; </t>
  </si>
  <si>
    <t>Unilever Vietnam International Comp. Limited; Unilever Taiwan Limited.</t>
  </si>
  <si>
    <t>Berkedudukan di Vietnam (20%); Taiwan (20%).</t>
  </si>
  <si>
    <t>ULTR</t>
  </si>
  <si>
    <t>PT ULTRA JAYA</t>
  </si>
  <si>
    <t xml:space="preserve">WIIM </t>
  </si>
  <si>
    <t>PT WISMILAK INTI MAKMUR</t>
  </si>
  <si>
    <t>WOOD</t>
  </si>
  <si>
    <t>PT INTEGRA INDOCABINET</t>
  </si>
  <si>
    <t>ASSA</t>
  </si>
  <si>
    <t>PT ADI SARANA ARMADA</t>
  </si>
  <si>
    <t>BLTA</t>
  </si>
  <si>
    <t>PT BERLIAN LAJU TANKER</t>
  </si>
  <si>
    <t>Thai Petra Transport Co. Ltd.; Pan Union Agencies Pte. Ltd.</t>
  </si>
  <si>
    <t>Berkedudukan di Thailand (20%); Singapura (17%).</t>
  </si>
  <si>
    <t>BBR Shipping Pte Ltd</t>
  </si>
  <si>
    <t>BBRM</t>
  </si>
  <si>
    <t>PT PELAYARAN NASIONAL BINA BUANA RAYA</t>
  </si>
  <si>
    <t xml:space="preserve">BIRD </t>
  </si>
  <si>
    <t>PT BLUE BIRD</t>
  </si>
  <si>
    <t>PT BATAVIA PROSPERINDO TRANS</t>
  </si>
  <si>
    <t>BPTR</t>
  </si>
  <si>
    <t>BTEL</t>
  </si>
  <si>
    <t>PT BAKRIE TELECOM</t>
  </si>
  <si>
    <t>Bakrie Telecom Pte., Ltd.</t>
  </si>
  <si>
    <t>BULL</t>
  </si>
  <si>
    <t>PT BUANA LINTAS LAUTAN</t>
  </si>
  <si>
    <t>BLT Shipping Corporation</t>
  </si>
  <si>
    <t>Berkedudukan di British Virgin Island</t>
  </si>
  <si>
    <t>CMNP</t>
  </si>
  <si>
    <t>PT CITRA MARGA NUSAPHALA PERSADA</t>
  </si>
  <si>
    <t>EXCL</t>
  </si>
  <si>
    <t>PT XL AXIATA</t>
  </si>
  <si>
    <t>Axiata Group Berhad; Smart Axiata Co., Ltd; M1 Limited</t>
  </si>
  <si>
    <t>Berkedudukan di Malaysia (24%); Cambodia (20%); Singapura (17%).</t>
  </si>
  <si>
    <t>FREN</t>
  </si>
  <si>
    <t>PT SMARTFREN TELECOM</t>
  </si>
  <si>
    <t>GHON</t>
  </si>
  <si>
    <t>PT GIHON TELEKOMUNIKASI INDONESIA</t>
  </si>
  <si>
    <t>GIAA</t>
  </si>
  <si>
    <t>PT GARUDA INDONESIA</t>
  </si>
  <si>
    <t>HITS</t>
  </si>
  <si>
    <t>HUMPUSS INTERMODA TRANSPORTASI</t>
  </si>
  <si>
    <t>Berkedudukan di Tax Haven Country, yaitu Liberia.</t>
  </si>
  <si>
    <t>Berkedudukan di Tax Haven Country, yaitu Panama.</t>
  </si>
  <si>
    <t>Silverstone Development Inc.</t>
  </si>
  <si>
    <t xml:space="preserve">Humolco Trans Inc.; MCGC II Inc.;  </t>
  </si>
  <si>
    <t>PT INTI BANGUN SEJAHTERA</t>
  </si>
  <si>
    <t>IPCC</t>
  </si>
  <si>
    <t>PT INDONESIA KENDARAAN TERMINAL</t>
  </si>
  <si>
    <t>IBST</t>
  </si>
  <si>
    <t>ISAT</t>
  </si>
  <si>
    <t>PT INDOSAT</t>
  </si>
  <si>
    <t>Chia Tai Seeds Co. Ltd.</t>
  </si>
  <si>
    <t>Indosat Singapore Pte. Ltd.</t>
  </si>
  <si>
    <t>Berkedudukan di Singapura</t>
  </si>
  <si>
    <t>Parent, Berkedudukan di Singapura</t>
  </si>
  <si>
    <t>Berkedudukan di Singapura; Malaysia (24%); Vietnam (20%).</t>
  </si>
  <si>
    <t>Berkedudukan di Singapura; Kamboja (20%); Swiss (18%); dan Timor Leste (10%).</t>
  </si>
  <si>
    <t>Berkedudukan di Singapura dan di Hongkong (16,5%)</t>
  </si>
  <si>
    <t xml:space="preserve"> Berkedudukan di Singapura</t>
  </si>
  <si>
    <t>JSMR</t>
  </si>
  <si>
    <t>PT JASA MARGA</t>
  </si>
  <si>
    <t>KEEN</t>
  </si>
  <si>
    <t>PT KENCANA ENERGI LESTARI</t>
  </si>
  <si>
    <t>LEAD</t>
  </si>
  <si>
    <t>PT LOGINDO SAMUDRAMAKMUR</t>
  </si>
  <si>
    <t>MBSS</t>
  </si>
  <si>
    <t>PT MITRABAHTERA SEGARA SEJATI</t>
  </si>
  <si>
    <t>Mitra Bahtera Segarasejati Pte. Ltd</t>
  </si>
  <si>
    <t>META</t>
  </si>
  <si>
    <t>PT NUSANTARA INFRASTRUCTURE</t>
  </si>
  <si>
    <t>PTIS</t>
  </si>
  <si>
    <t>PT PERUSAHAAN GAS NEGARA</t>
  </si>
  <si>
    <t>PT Saka Energi Asia Pte. Ltd.; Saka Energi Sanga CBM Pte. Ltd.; Saka Energi International Ventures Ltd; Saka Energi Sanga-sanga Limited.; Saka Energi International Venture Ltd; PT Saka Energi Exploration Production B.V</t>
  </si>
  <si>
    <t>Berkedudukan di British Virgin Islands, Singapura,  Bahama, Netherlands, Hong Kong, Kepulauan Cayman.</t>
  </si>
  <si>
    <t>PGAS</t>
  </si>
  <si>
    <t>PPRE</t>
  </si>
  <si>
    <t>PT PEMBANGUNAN PERUMAHAN PRESISI</t>
  </si>
  <si>
    <t>PT INDO STRAITS</t>
  </si>
  <si>
    <t xml:space="preserve">Straits Corporation Pte. Ltd. </t>
  </si>
  <si>
    <t>PSSI</t>
  </si>
  <si>
    <t>PT PELITA SAMUDERA SHIPPING</t>
  </si>
  <si>
    <t>RAJA</t>
  </si>
  <si>
    <t xml:space="preserve">PT RUKUN RAHARJA </t>
  </si>
  <si>
    <t>SMDR</t>
  </si>
  <si>
    <t>SAMUDERA INDONESIA</t>
  </si>
  <si>
    <t>Samudera Shipping Line Limited ; Ocean Shipping, Pte. Ltd.; Foremost Maritime Pte. Ltd; Samudera Logistics DWC LLC; Samudera Intermodal Sdn. Bhd.; Samudera Traffic Co., Ltd.</t>
  </si>
  <si>
    <t>Berkedudukan di Singapura; Uni Emirate Arab; Malaysia; dan Thailand.</t>
  </si>
  <si>
    <t>SOCI</t>
  </si>
  <si>
    <t xml:space="preserve">PT SOECHI LINES </t>
  </si>
  <si>
    <t>Success International Marine Pte. Ltd.; Soechi Capital B. V.; Success Marlina Pte. Ltd.; Soechi International B.V.</t>
  </si>
  <si>
    <t>Berkedudukan di Singapura dan Netherlands.</t>
  </si>
  <si>
    <t>TAXI</t>
  </si>
  <si>
    <t>PT EXPRESS TRANSINDO UTAMA</t>
  </si>
  <si>
    <t>TBIG</t>
  </si>
  <si>
    <t>PT TOWER BERSAMA INFRASTRUCTURE</t>
  </si>
  <si>
    <t>TBG Global Pte Ltd.</t>
  </si>
  <si>
    <t>TGRA</t>
  </si>
  <si>
    <t>PT TERREGRA ASIA ENERGY</t>
  </si>
  <si>
    <t>TLKM</t>
  </si>
  <si>
    <t>PT TELEKOMUNIKASI INDONESIA</t>
  </si>
  <si>
    <t>Telekomunikasi Indonesia International</t>
  </si>
  <si>
    <t>Berkedudukan di Singapura, Hong Kong, Timor Leste.</t>
  </si>
  <si>
    <t>TMAS</t>
  </si>
  <si>
    <t>PT PELAYARAN TEMPURAN EMAS</t>
  </si>
  <si>
    <t>Anemi Maritime Co. Ltd.</t>
  </si>
  <si>
    <t>Berkedudukan di Malta.</t>
  </si>
  <si>
    <t>TOWR</t>
  </si>
  <si>
    <t>PT SARANA MENARA NUSANTARA</t>
  </si>
  <si>
    <t>WEHA</t>
  </si>
  <si>
    <t>PT WEHA TRANSPORTASI INDONESIA</t>
  </si>
  <si>
    <t>WINS</t>
  </si>
  <si>
    <t>PT WINTERMAR OFFSHORE MARINE</t>
  </si>
  <si>
    <t>Florissa Pte. Ltd.</t>
  </si>
  <si>
    <t>ADRO</t>
  </si>
  <si>
    <t>PT ADARO ENERGY</t>
  </si>
  <si>
    <t>Coaltrade Service International Pte. Ltd; Orchard Maritime; Vindoor Investments Ltd.</t>
  </si>
  <si>
    <t>Berkedudukan di Singapura dan Mauritius</t>
  </si>
  <si>
    <t>Kurs USD</t>
  </si>
  <si>
    <t>ANTM</t>
  </si>
  <si>
    <t>PT ANEKA TAMBANG</t>
  </si>
  <si>
    <t>ARTI</t>
  </si>
  <si>
    <t>PT RATU PRABU ENERGI</t>
  </si>
  <si>
    <t xml:space="preserve">BYAN </t>
  </si>
  <si>
    <t>PT BAYAN RESOURCES</t>
  </si>
  <si>
    <t>Bayan International Pte. Ltd.</t>
  </si>
  <si>
    <t>DEWA</t>
  </si>
  <si>
    <t>PT DARMA HENWA</t>
  </si>
  <si>
    <t>DSSA</t>
  </si>
  <si>
    <t>PT DIAN SWASTATIKA SENTOSA</t>
  </si>
  <si>
    <t xml:space="preserve">GEMS Trading Resources Pte. Ltd.; Shanghai Jingguang Energy Co. Ltd. </t>
  </si>
  <si>
    <t>Berkedudukan di Singapura dan Tiongkok.</t>
  </si>
  <si>
    <t>DOID</t>
  </si>
  <si>
    <t>PT DELTA DUNIA MAKMUR</t>
  </si>
  <si>
    <t>ELSA</t>
  </si>
  <si>
    <t>PT ELNUSA</t>
  </si>
  <si>
    <t>GEMS</t>
  </si>
  <si>
    <t>PT GOLDEN ENERGY MINES</t>
  </si>
  <si>
    <t>HRUM</t>
  </si>
  <si>
    <t>PT HARUM ENERGY</t>
  </si>
  <si>
    <t>INCO</t>
  </si>
  <si>
    <t>PT VALE INDONESIA</t>
  </si>
  <si>
    <t>INDY</t>
  </si>
  <si>
    <t>PT INDIKA ENERGY</t>
  </si>
  <si>
    <t xml:space="preserve">Indika Capital Pte. Ltd. ; Indika Capital Investments pte. Ltd.; Indika Energy Trading Pte. Ltd.; </t>
  </si>
  <si>
    <t>Berkedudukan di Singapura.</t>
  </si>
  <si>
    <t>ITMG</t>
  </si>
  <si>
    <t>PT INDO TAMBANGRAYA MEGAH</t>
  </si>
  <si>
    <t>Banpu Public Company Limited; Banpu Minerals Company Limited.</t>
  </si>
  <si>
    <t>KKGI</t>
  </si>
  <si>
    <t>PT RESOURCE ALAM INDONESIA</t>
  </si>
  <si>
    <t>MEDC</t>
  </si>
  <si>
    <t>PT MEDCO ENERGI INTERNATIONAL</t>
  </si>
  <si>
    <t>Medco Energi Global Pte. Ltd. ; Medco International Service Pte. Ltd.; Medco Asia Pacific Ltd.</t>
  </si>
  <si>
    <t>Berkedudukan di Singapura; Kamboja (20%).</t>
  </si>
  <si>
    <t>MYOH</t>
  </si>
  <si>
    <t>PT SAMINDO RESOURCES</t>
  </si>
  <si>
    <t>STI Pacific Pte. Ltd.</t>
  </si>
  <si>
    <t>PTBA</t>
  </si>
  <si>
    <t>PT BUKIT ASAM</t>
  </si>
  <si>
    <t>Anthrakas Pte Ltd.</t>
  </si>
  <si>
    <t>PTRO</t>
  </si>
  <si>
    <t>PT PETROSEA</t>
  </si>
  <si>
    <t>Indo Energy Capital II B.V.</t>
  </si>
  <si>
    <t>Berkedudukan di Netherlands.</t>
  </si>
  <si>
    <t>TINS</t>
  </si>
  <si>
    <t>PT TIMAH</t>
  </si>
  <si>
    <t>Timah Investment International Ltd.; Great Force Trading Limited.</t>
  </si>
  <si>
    <t>Berkedudukan di Singapura; Hong Kong.</t>
  </si>
  <si>
    <t>TRAM</t>
  </si>
  <si>
    <t>PT TRADA ALAM MINERA</t>
  </si>
  <si>
    <t>TOBA</t>
  </si>
  <si>
    <t>PT TOBA SEJAHTERA</t>
  </si>
  <si>
    <t>Highland Strategic Holdings Pte. Ltd.</t>
  </si>
  <si>
    <t>AGII</t>
  </si>
  <si>
    <t>PT ANEKA GAS INDUSTRI</t>
  </si>
  <si>
    <t>AMFG</t>
  </si>
  <si>
    <t>PT ASAHIMAS FLAT GLASS</t>
  </si>
  <si>
    <t>AGC Asia Pacific Pte. Ltd.; AGC Glass Europe ; AGC Flat Glass Public Co. Ltd. ; AGC Automotive Phillipines Inc.</t>
  </si>
  <si>
    <t>Berkedudukan di Singapura; Belgia; Thailand; dan Filipina.</t>
  </si>
  <si>
    <t>ADMG</t>
  </si>
  <si>
    <t xml:space="preserve">PT POLYCHEM INDONESIA </t>
  </si>
  <si>
    <t>APLI</t>
  </si>
  <si>
    <t>PT ASIAPLAST INDUSTRIES</t>
  </si>
  <si>
    <t>ARNA</t>
  </si>
  <si>
    <t>PT ARWANA CITRAMULIA</t>
  </si>
  <si>
    <t>BRPT</t>
  </si>
  <si>
    <t>PT BARITO PACIFIC</t>
  </si>
  <si>
    <t>Star Energy Group Holdings Pte Ltd.</t>
  </si>
  <si>
    <t xml:space="preserve"> fixed assets</t>
  </si>
  <si>
    <r>
      <t>3)</t>
    </r>
    <r>
      <rPr>
        <sz val="7"/>
        <color rgb="FF000000"/>
        <rFont val="Calibri"/>
        <family val="2"/>
        <scheme val="major"/>
      </rPr>
      <t xml:space="preserve">      </t>
    </r>
    <r>
      <rPr>
        <sz val="12"/>
        <color theme="1"/>
        <rFont val="Calibri"/>
        <family val="2"/>
        <scheme val="major"/>
      </rPr>
      <t>salah satu  pemilik/pemegang saham dengan persetase kepemilikan diatas 10% merupakan anggota partai politik, pejabat atau mantan pejabat, atau memiliki hubungan  dengan politisi terkenal, dan/atau pejabat atau mantan pejabat.</t>
    </r>
  </si>
  <si>
    <t>: jumlah kriteria yang terpenuhi/jumlah kriteria
seluruhnya</t>
  </si>
  <si>
    <t>jumlah kriteria terpenuhi</t>
  </si>
  <si>
    <t>CPIN</t>
  </si>
  <si>
    <t>PT CHAROEN POKPHAND INDONESIA</t>
  </si>
  <si>
    <t>NUGEN BIOSCIENCE INTERNATIONAL PTE. LTD</t>
  </si>
  <si>
    <r>
      <rPr>
        <b/>
        <u/>
        <sz val="11"/>
        <color theme="0"/>
        <rFont val="Calibri"/>
        <family val="2"/>
        <scheme val="major"/>
      </rPr>
      <t>Marketing</t>
    </r>
    <r>
      <rPr>
        <b/>
        <sz val="11"/>
        <color theme="0"/>
        <rFont val="Calibri"/>
        <family val="2"/>
        <scheme val="major"/>
      </rPr>
      <t xml:space="preserve"> Sales</t>
    </r>
  </si>
  <si>
    <t>CPRO</t>
  </si>
  <si>
    <t>PT CENTRAL PROTEINA PRIMA</t>
  </si>
  <si>
    <t>Splendid Eagle Financial Pte. Ltd. (Parent); Blue Ocean Resources Pte Ltd.; CPP Intertrade Pte. Ltd; CP Prima (Vietnam) Corporation Limited.</t>
  </si>
  <si>
    <t>Berkedudukan di Singapura dan Vietnam.</t>
  </si>
  <si>
    <t>CTBN</t>
  </si>
  <si>
    <t xml:space="preserve">PT CITRA TUBINDO </t>
  </si>
  <si>
    <t>NSCT Premium Tubulars BV; NS Connection Technology Inc; NS Connection Techonolgy Pte Ltd; Citra Tubindo Pte. Ltd.</t>
  </si>
  <si>
    <t>Berkedudukan di Belanda, USA, dan Singapura.</t>
  </si>
  <si>
    <t>DPNS</t>
  </si>
  <si>
    <t>PT DUTA PERTIWI NUSANTARA</t>
  </si>
  <si>
    <t>EKAD</t>
  </si>
  <si>
    <t xml:space="preserve">EKADHARMA INTERNATIONAL </t>
  </si>
  <si>
    <r>
      <t>Mempunyai anak perusahaan (</t>
    </r>
    <r>
      <rPr>
        <i/>
        <sz val="12"/>
        <color theme="1"/>
        <rFont val="Calibri"/>
        <family val="2"/>
        <scheme val="major"/>
      </rPr>
      <t>subsidiary</t>
    </r>
    <r>
      <rPr>
        <sz val="12"/>
        <color theme="1"/>
        <rFont val="Calibri"/>
        <family val="2"/>
        <scheme val="major"/>
      </rPr>
      <t>) atau anak perusahaan saudara (</t>
    </r>
    <r>
      <rPr>
        <i/>
        <sz val="12"/>
        <color theme="1"/>
        <rFont val="Calibri"/>
        <family val="2"/>
        <scheme val="major"/>
      </rPr>
      <t>sister company</t>
    </r>
    <r>
      <rPr>
        <sz val="12"/>
        <color theme="1"/>
        <rFont val="Calibri"/>
        <family val="2"/>
        <scheme val="major"/>
      </rPr>
      <t xml:space="preserve">) di </t>
    </r>
    <r>
      <rPr>
        <i/>
        <sz val="12"/>
        <color theme="1"/>
        <rFont val="Calibri"/>
        <family val="2"/>
        <scheme val="major"/>
      </rPr>
      <t>tax haven country</t>
    </r>
    <r>
      <rPr>
        <sz val="12"/>
        <color theme="1"/>
        <rFont val="Calibri"/>
        <family val="2"/>
        <scheme val="major"/>
      </rPr>
      <t>;</t>
    </r>
  </si>
  <si>
    <r>
      <t>Memiliki transaksi dengan anak perusahaan (</t>
    </r>
    <r>
      <rPr>
        <i/>
        <sz val="12"/>
        <color theme="1"/>
        <rFont val="Calibri"/>
        <family val="2"/>
        <scheme val="major"/>
      </rPr>
      <t>subsidiary</t>
    </r>
    <r>
      <rPr>
        <sz val="12"/>
        <color theme="1"/>
        <rFont val="Calibri"/>
        <family val="2"/>
        <scheme val="major"/>
      </rPr>
      <t>) atau anak perusahaan saudara (</t>
    </r>
    <r>
      <rPr>
        <i/>
        <sz val="12"/>
        <color theme="1"/>
        <rFont val="Calibri"/>
        <family val="2"/>
        <scheme val="major"/>
      </rPr>
      <t>sister company</t>
    </r>
    <r>
      <rPr>
        <sz val="12"/>
        <color theme="1"/>
        <rFont val="Calibri"/>
        <family val="2"/>
        <scheme val="major"/>
      </rPr>
      <t xml:space="preserve">) di </t>
    </r>
    <r>
      <rPr>
        <i/>
        <sz val="12"/>
        <color theme="1"/>
        <rFont val="Calibri"/>
        <family val="2"/>
        <scheme val="major"/>
      </rPr>
      <t>tax haven country</t>
    </r>
    <r>
      <rPr>
        <sz val="12"/>
        <color theme="1"/>
        <rFont val="Calibri"/>
        <family val="2"/>
        <scheme val="major"/>
      </rPr>
      <t>;</t>
    </r>
  </si>
  <si>
    <r>
      <t>Memiliki perusahaan induk (</t>
    </r>
    <r>
      <rPr>
        <i/>
        <sz val="12"/>
        <color theme="1"/>
        <rFont val="Calibri"/>
        <family val="2"/>
        <scheme val="major"/>
      </rPr>
      <t>parent</t>
    </r>
    <r>
      <rPr>
        <sz val="12"/>
        <color theme="1"/>
        <rFont val="Calibri"/>
        <family val="2"/>
        <scheme val="major"/>
      </rPr>
      <t>), anak perusahaan (</t>
    </r>
    <r>
      <rPr>
        <i/>
        <sz val="12"/>
        <color theme="1"/>
        <rFont val="Calibri"/>
        <family val="2"/>
        <scheme val="major"/>
      </rPr>
      <t>subsidiary</t>
    </r>
    <r>
      <rPr>
        <sz val="12"/>
        <color theme="1"/>
        <rFont val="Calibri"/>
        <family val="2"/>
        <scheme val="major"/>
      </rPr>
      <t>) atau anak perusahaan saudara (</t>
    </r>
    <r>
      <rPr>
        <i/>
        <sz val="12"/>
        <color theme="1"/>
        <rFont val="Calibri"/>
        <family val="2"/>
        <scheme val="major"/>
      </rPr>
      <t>sister company</t>
    </r>
    <r>
      <rPr>
        <sz val="12"/>
        <color theme="1"/>
        <rFont val="Calibri"/>
        <family val="2"/>
        <scheme val="major"/>
      </rPr>
      <t xml:space="preserve">) di negara dengan tarif pajak yang berbeda selain </t>
    </r>
    <r>
      <rPr>
        <i/>
        <sz val="12"/>
        <color theme="1"/>
        <rFont val="Calibri"/>
        <family val="2"/>
        <scheme val="major"/>
      </rPr>
      <t>tax haven country</t>
    </r>
    <r>
      <rPr>
        <sz val="12"/>
        <color theme="1"/>
        <rFont val="Calibri"/>
        <family val="2"/>
        <scheme val="major"/>
      </rPr>
      <t>;</t>
    </r>
  </si>
  <si>
    <t>Berkedudukan di Malaysia dan Thailand.</t>
  </si>
  <si>
    <t>Visko Industries Sdn. BHd.; Visko Marketing Thailand Co Ltd.</t>
  </si>
  <si>
    <t>ESSA</t>
  </si>
  <si>
    <t>PT SURYA ESA PERKASA</t>
  </si>
  <si>
    <t>ETWA</t>
  </si>
  <si>
    <t>PT ETERINDO WAHANATAMA</t>
  </si>
  <si>
    <t>FASW</t>
  </si>
  <si>
    <t>PT FAJAR SURYA WISESA</t>
  </si>
  <si>
    <t>SCGP Solution Pte. Ltd.</t>
  </si>
  <si>
    <t>IGAR</t>
  </si>
  <si>
    <t>PT CHAMPION PACIFIC INDONESIA</t>
  </si>
  <si>
    <t>INCI</t>
  </si>
  <si>
    <t>PT INTANWIJAYA INTERNATIONAL</t>
  </si>
  <si>
    <t>INKP</t>
  </si>
  <si>
    <t>PT INDAH KIAT PULP &amp; PAPER</t>
  </si>
  <si>
    <t>IK Trading Limited &amp; IK Import &amp; Export Limited</t>
  </si>
  <si>
    <t>Berkedudukan di Cayman Island dan British Virgin Island</t>
  </si>
  <si>
    <t>INTP</t>
  </si>
  <si>
    <t>PT INDOCEMENT TUNGGAL PRAKARSA</t>
  </si>
  <si>
    <t>HeidelbergCement AG; HC Trading International Inc; dan HC Trading Malta Limited.</t>
  </si>
  <si>
    <t>Berkedudukan di Germany, Turkey dan Malta.</t>
  </si>
  <si>
    <t>IPOL</t>
  </si>
  <si>
    <t>PT INDOPOLY SWAKARSA INDUSTRY</t>
  </si>
  <si>
    <t>Suzhou Kunlene Film Industries Co. Ltd.; Yunnan Kunlene Film Industries Co. Ltd.; Iene Inc.</t>
  </si>
  <si>
    <t>Berkedudukan di China dan USA</t>
  </si>
  <si>
    <t>ISSP</t>
  </si>
  <si>
    <t>PT STEEL PIPE INDUSTRY OF INDONESIA</t>
  </si>
  <si>
    <t>JAPFA</t>
  </si>
  <si>
    <t>PT JAPFA COMFEED INDONESIA</t>
  </si>
  <si>
    <t>JAPFA Pte. Ltd.; Comfeed Trading; Apachee Pte. Ltd.</t>
  </si>
  <si>
    <t>Berkedudukan di Singapura dan Belanda</t>
  </si>
  <si>
    <t>KRAS</t>
  </si>
  <si>
    <t xml:space="preserve">PT KRAKATAU STEEL </t>
  </si>
  <si>
    <t>LION</t>
  </si>
  <si>
    <t>PT LION METAL WORKS</t>
  </si>
  <si>
    <t>Lion Steelworks Sdn. Bhd.; Megasteel Sdn. Bhd.</t>
  </si>
  <si>
    <t>Berkedududkan di Malaysia</t>
  </si>
  <si>
    <t>MAIN</t>
  </si>
  <si>
    <t>PT MALINDO FEEDMILL</t>
  </si>
  <si>
    <t>Drgaon Amity Pte. Ltd.; Emerging Success Pte. Ltd.; dan Leong Hup Feedmill Sdn. Bhd.</t>
  </si>
  <si>
    <t>Berkedududkan di Singapura an Malaysia.</t>
  </si>
  <si>
    <t>MARK</t>
  </si>
  <si>
    <t>PT MARK DYNAMICS INDONESIA</t>
  </si>
  <si>
    <t xml:space="preserve">Tecable (HK) Co. Limited dan Honour Tower Sdn. Bhd. </t>
  </si>
  <si>
    <t>Berkedudukan di Hongkong dan Malaysia.</t>
  </si>
  <si>
    <t>PBID</t>
  </si>
  <si>
    <t xml:space="preserve">PT PANCA BUDI IDAMAN </t>
  </si>
  <si>
    <t>SMBR</t>
  </si>
  <si>
    <t>PT SEMEN BATURAJA</t>
  </si>
  <si>
    <t>SMCB</t>
  </si>
  <si>
    <t>PT SOLUSI BANGUN INDONESIA</t>
  </si>
  <si>
    <t>LafargeHolcim Ltd.; Holderfin B.V; LH Trading Pte.Ltd.; Lafarge S.A; Holcim Technology Pte. Ltd.</t>
  </si>
  <si>
    <t>Berkedudukan di Swiss, Netherlands, Singapura, dan Philipina.</t>
  </si>
  <si>
    <t>SGMR</t>
  </si>
  <si>
    <t>PT SEMEN INDONESIA</t>
  </si>
  <si>
    <t>SI International Trading Pte. Ltd.; Thang Long Cemnet Joint; dan An Phu Cement Joint Stock Company.</t>
  </si>
  <si>
    <t>SPMA</t>
  </si>
  <si>
    <t>PT SUPARMA</t>
  </si>
  <si>
    <t>SRSN</t>
  </si>
  <si>
    <t>PT INDO ACIDATAMA</t>
  </si>
  <si>
    <t>SULI</t>
  </si>
  <si>
    <t>PT SLJ GLOBAL</t>
  </si>
  <si>
    <t>TIRT</t>
  </si>
  <si>
    <t>PT TIRTA MAHAKAM RESOURCES</t>
  </si>
  <si>
    <t>TRST</t>
  </si>
  <si>
    <t>PT TRIAS SENTOSA</t>
  </si>
  <si>
    <t>Astria Packaging Pte.Ltd. Dan Tianjin Sunshine Plastics Co. Ltd.</t>
  </si>
  <si>
    <t>Berkedudukan di Singapura dan China.</t>
  </si>
  <si>
    <t>UNIC</t>
  </si>
  <si>
    <t>PT UNGGUL INDAH CAHAYA</t>
  </si>
  <si>
    <t>Ecogreen Oleochemicals Pte. Ltd.; Albright &amp; Wilson New Zealand Ltd.; UIC Vietnam.</t>
  </si>
  <si>
    <t>Berkedudukan di Singapura, New Zealand dan Vietnam.</t>
  </si>
  <si>
    <t>WSBP</t>
  </si>
  <si>
    <t>PT WASKITA BETON PRECAST</t>
  </si>
  <si>
    <t>WTON</t>
  </si>
  <si>
    <t>PT WIJAYA KARYA BETON</t>
  </si>
  <si>
    <t>ASII</t>
  </si>
  <si>
    <t>PT ASTRA INTERNATIONAL</t>
  </si>
  <si>
    <t>Jardine Cycle &amp; Carriage Ltd. (Parents); Astra KLK Pte Ltd.;Superior Chain (Hangzhou) Co Ltd.</t>
  </si>
  <si>
    <t>Berkedudukan di Singapura, Malaysia dan China.</t>
  </si>
  <si>
    <t>AUTO</t>
  </si>
  <si>
    <t>PT ASTRA OTOPARTS</t>
  </si>
  <si>
    <t>Superior Chain (Hangzhou) Co Ltd.</t>
  </si>
  <si>
    <t>Berkedudukan di China.</t>
  </si>
  <si>
    <t>BATA</t>
  </si>
  <si>
    <t>PT SEPATU BATA</t>
  </si>
  <si>
    <t>Bafin B. V.; Compass Limited; Bata Shoe Pte. Ltd.; Bata Industrial Europe; Empresas Comersiales S.A..</t>
  </si>
  <si>
    <t>Berkedudukan di Netherlands, Bermuda, Singapura, Peru, dll</t>
  </si>
  <si>
    <t>BRAM</t>
  </si>
  <si>
    <t>PT INDO KORDSA</t>
  </si>
  <si>
    <t>Berkedudukan di Turkey, Thailand, USA, German, dll.</t>
  </si>
  <si>
    <t>ESTI</t>
  </si>
  <si>
    <t>PT EVER SHIME TEX</t>
  </si>
  <si>
    <t>GDYR</t>
  </si>
  <si>
    <t>PT GOODYEAR INDONESIA</t>
  </si>
  <si>
    <t>Kordsa Teknik Tekstil A.S. (Parent) ;Thai Indo Kordsa Co. Ltd.; Kordsa Inc; Interkordsa GmbH.</t>
  </si>
  <si>
    <t>The Goodyear Tire &amp; Rubber Co.; Goodyear &amp; Dunlop Tyres (NZ) Limited; Goodyear Taiwan Limited; Compania Goodyear del Peru S.A.</t>
  </si>
  <si>
    <t>Berkedudukan di USA, New Zealand, Taiwan, Peru, dll.</t>
  </si>
  <si>
    <t>GJTL</t>
  </si>
  <si>
    <t>PT GAJAH TUNGGAL</t>
  </si>
  <si>
    <t>Denham Pte. Ltd.; Globaltaco International Pte. Ltd.; GITI Tire Co.Ltd. GITI Tire BV; GITI Tire Ltd.</t>
  </si>
  <si>
    <t>Berkedudukan di Singapura, China, Netherlands, dan USA.</t>
  </si>
  <si>
    <t>GMFI</t>
  </si>
  <si>
    <t>PT GARUDA MAINTENANCE FACILITY AERO ASIA</t>
  </si>
  <si>
    <t>HDTX</t>
  </si>
  <si>
    <t>PT PANASIA INDO RESOURCES</t>
  </si>
  <si>
    <t>Lucky Heights Resources Limited</t>
  </si>
  <si>
    <t>Berkedudukan British Virgin Island</t>
  </si>
  <si>
    <t>IMAS</t>
  </si>
  <si>
    <t>PT INDOMOBIL SUKSES INTERNATIONAL</t>
  </si>
  <si>
    <t xml:space="preserve">Gallant Venture Ltd.; Teachcast Global Pte. Ltd.; </t>
  </si>
  <si>
    <t>INDR</t>
  </si>
  <si>
    <t>PT INDO-RAMA SYNTHETICS</t>
  </si>
  <si>
    <t>Wellman International Ltd.; Trivera GMBH; Costal International Pte. Ltd.; Isin International Pte. Ltd.; Indorama IPLIK Sanayi ve Ticaret A.S.</t>
  </si>
  <si>
    <t>Berkedudukan di Singapura, USA, dan Turki</t>
  </si>
  <si>
    <t>INDS</t>
  </si>
  <si>
    <t>PT INDOSPRING</t>
  </si>
  <si>
    <t>JSKY</t>
  </si>
  <si>
    <t>PT SKY ENERGY INDONESIA</t>
  </si>
  <si>
    <t>KBLI</t>
  </si>
  <si>
    <t>PT KMI Wire and Cable</t>
  </si>
  <si>
    <t>Denham Pte. Ltd.</t>
  </si>
  <si>
    <t>KPAL</t>
  </si>
  <si>
    <t>PT STEADFAST MARINE</t>
  </si>
  <si>
    <t>MASA</t>
  </si>
  <si>
    <t>PT MULTISTRADA ARAH SARANA</t>
  </si>
  <si>
    <t>Multistrada Europa GmbH; Achilles Tire Co. Ltd; Achilles Tires USA.</t>
  </si>
  <si>
    <t>Berkedudukan Germany, China dan USA.</t>
  </si>
  <si>
    <t>MYTX</t>
  </si>
  <si>
    <t>PT ASIA PASIFIC INVESTAMA</t>
  </si>
  <si>
    <t>PBRX</t>
  </si>
  <si>
    <t>PT PAN BROTHERS</t>
  </si>
  <si>
    <t>PB International B.V; PB Island Pte Ltd.; Continent 8, Pte. Ltd; dan Cosmic Gear, Ltd.</t>
  </si>
  <si>
    <t>Berkedudukan di Singapura, Netherlands, Hong Kong.</t>
  </si>
  <si>
    <t>PRAS</t>
  </si>
  <si>
    <t>PT PRIMA ALLOY STEEL UNIVERSAL</t>
  </si>
  <si>
    <t>PTSN</t>
  </si>
  <si>
    <t xml:space="preserve">PT SAT NUSAPERSADA </t>
  </si>
  <si>
    <t>SNI Internasional S.A.</t>
  </si>
  <si>
    <t>Berkedudukan di Timor Leste.</t>
  </si>
  <si>
    <t>RICY</t>
  </si>
  <si>
    <t>PT RICKY PUTRA GLOBALINDO</t>
  </si>
  <si>
    <t>Ricky Putra Globalindo Vietnam Co., Ltd.</t>
  </si>
  <si>
    <t>Berkedudukan di Vietnam</t>
  </si>
  <si>
    <t>SCCO</t>
  </si>
  <si>
    <t>PT SUPREME CABLE MANUFACTURING &amp; COMMERCE</t>
  </si>
  <si>
    <t>SMSM</t>
  </si>
  <si>
    <t>PT SELAMAT SEMPURNA</t>
  </si>
  <si>
    <t>Bradke Synergies Sdn Bhd; Sure Filter Co.; Qiangli Auto Parts Co. Ltd.; Filtration Solution Pte Ltd.; Donaldson Company Inc.</t>
  </si>
  <si>
    <t>Berkedudukan di Malaysia, Thailand, China, Singapura, dan USA.</t>
  </si>
  <si>
    <t>SRIL</t>
  </si>
  <si>
    <t>PT SRI REJEKI ISMAN</t>
  </si>
  <si>
    <t>Golden Legacy Pte. Ltd,</t>
  </si>
  <si>
    <t>STAR</t>
  </si>
  <si>
    <t>PT STAR PETROCHEM</t>
  </si>
  <si>
    <t>UCID</t>
  </si>
  <si>
    <t>PT Uni Charm Indonesia</t>
  </si>
  <si>
    <t>VOKS</t>
  </si>
  <si>
    <t>PT VOKSEL ELECTRIC</t>
  </si>
  <si>
    <t>Hengtong Optic-Electric International Co. Ltd.; Jiangsu Hengtong Power Cable Co. Ltd.</t>
  </si>
  <si>
    <t>ACST</t>
  </si>
  <si>
    <t>PT ACSET INDONUSA</t>
  </si>
  <si>
    <t>Acset Indonusa Co. Ltd.</t>
  </si>
  <si>
    <t>ADHI</t>
  </si>
  <si>
    <t>PT ADHI KARYA</t>
  </si>
  <si>
    <t>AMAN</t>
  </si>
  <si>
    <t>PT MAKMUR BERKAH AMANDA</t>
  </si>
  <si>
    <t>APLN</t>
  </si>
  <si>
    <t>PT AGUNG PODOMORO LAND</t>
  </si>
  <si>
    <t>APL Realty Holdings Pte Ltd</t>
  </si>
  <si>
    <t>ASRI</t>
  </si>
  <si>
    <t>PT ALAM SUTERA REALTY</t>
  </si>
  <si>
    <t xml:space="preserve">Alam Sutera International Pte. Ltd; Alam Synergy Pte. Ltd.; Silkwood Pte. Ltd.; Carlisle Venture Pte. Ltd.  </t>
  </si>
  <si>
    <t>BAPA</t>
  </si>
  <si>
    <t xml:space="preserve">PT BEKASI ASRI PEMULA </t>
  </si>
  <si>
    <t>BEST</t>
  </si>
  <si>
    <t>PT BEKASI FAJAR INDUSTRIAL ESTATE</t>
  </si>
  <si>
    <t>BSDE</t>
  </si>
  <si>
    <t>PT BUMI SERPONG DAMAI</t>
  </si>
  <si>
    <t xml:space="preserve">Sinarmas Land Limited. </t>
  </si>
  <si>
    <t xml:space="preserve">BKSL </t>
  </si>
  <si>
    <t>PT SENTUL CITY</t>
  </si>
  <si>
    <t>CITY</t>
  </si>
  <si>
    <t>PT NATURA CITY DEVELOPMENTS</t>
  </si>
  <si>
    <t>CTRA</t>
  </si>
  <si>
    <t>PT CIPUTRA DEVELOPMENT</t>
  </si>
  <si>
    <t>Longfield Enterprises Limited; New Strength Enterprises Limited</t>
  </si>
  <si>
    <t>Berkedudukan di British Virgin Islands.</t>
  </si>
  <si>
    <t>DART</t>
  </si>
  <si>
    <t>PT DUTA ANGGADA REALTY</t>
  </si>
  <si>
    <t>DGIK</t>
  </si>
  <si>
    <t>PT NUSA KONSTRUKSI ENJINIRING</t>
  </si>
  <si>
    <t>DILD</t>
  </si>
  <si>
    <t>PT INTILAND DEVELOPMENT</t>
  </si>
  <si>
    <t>Truss Investment Partners Pte. Ltd. dan Strands Investments Ltd.</t>
  </si>
  <si>
    <t>DMAS</t>
  </si>
  <si>
    <t>PT PURADELTA LESTARI</t>
  </si>
  <si>
    <t>ELTY</t>
  </si>
  <si>
    <t>PT BAKRIELAND DEVELOPMENT</t>
  </si>
  <si>
    <t>BLD Investment Pte. Ltd.; Limitless World International Service-6 Ltd.</t>
  </si>
  <si>
    <t>Berkedudukan di Singapura dan Uni Emirates Arab</t>
  </si>
  <si>
    <t>FORZ</t>
  </si>
  <si>
    <t>PT FORZA LAND INDONESIA</t>
  </si>
  <si>
    <t>GAMA</t>
  </si>
  <si>
    <t>PT AKSARA GLOBAL DEVELOPMENT</t>
  </si>
  <si>
    <t>GPRA</t>
  </si>
  <si>
    <t>PT PERDANA GAPURAPRIMA</t>
  </si>
  <si>
    <t>GWSA</t>
  </si>
  <si>
    <t>PT GREENWOOD SEJAHTERA</t>
  </si>
  <si>
    <t>IDPR</t>
  </si>
  <si>
    <t xml:space="preserve">PT INDONESIA PONDASI RAYA </t>
  </si>
  <si>
    <t>JKON</t>
  </si>
  <si>
    <t>PT JAYA KONSTRUKSI MANGGALA PRATAMA</t>
  </si>
  <si>
    <t>Jaya Trade Pte. Ltd.</t>
  </si>
  <si>
    <t>JRPT</t>
  </si>
  <si>
    <t>PT JAYA REAL PROPERTY</t>
  </si>
  <si>
    <t>MDLN</t>
  </si>
  <si>
    <t>PT MODERNLAND REALTY</t>
  </si>
  <si>
    <t>Modernland Overseas Pte. Ltd.; Marquee Land Pte. Ltd; JGC Ventures Pte. Ltd.</t>
  </si>
  <si>
    <t>KIJA</t>
  </si>
  <si>
    <t>PT KAWASAN INDUSTRI JABABEKA</t>
  </si>
  <si>
    <t>Jababeka International B.V.; Jababeka Finance B.V.</t>
  </si>
  <si>
    <t>KOTA</t>
  </si>
  <si>
    <t xml:space="preserve">PT DMS PROPERTINDO </t>
  </si>
  <si>
    <t>LPCK</t>
  </si>
  <si>
    <t xml:space="preserve">PT LIPPO CIKARANG </t>
  </si>
  <si>
    <t>Premium Venture International Ltd. dan Intellitop Finance Ltd.</t>
  </si>
  <si>
    <t>LPKR</t>
  </si>
  <si>
    <t>PT LIPPO KARAWACI</t>
  </si>
  <si>
    <t xml:space="preserve">Premium Venture International Ltd. dan Intellitop Finance Ltd.; Theta Kemang Pte. Ltd.; Jesselton Investment Limited; Bridgewater International Ltd.; </t>
  </si>
  <si>
    <t>Berkedudukan di British Virgin Island, Singapura, Malaysia, dan Seychells.</t>
  </si>
  <si>
    <t>MTLA</t>
  </si>
  <si>
    <t>PT METROPOLITAN LAND</t>
  </si>
  <si>
    <t>NRCA</t>
  </si>
  <si>
    <t>PT NUSA RAYA CIPTA</t>
  </si>
  <si>
    <t>NZIA</t>
  </si>
  <si>
    <t xml:space="preserve">PT NUSANTARA ALMAZIA </t>
  </si>
  <si>
    <t>PBSA</t>
  </si>
  <si>
    <t>PT PARAMITA BANGUN SARANA</t>
  </si>
  <si>
    <t>Paramita Bangun Sarana Sdn. Bhd.</t>
  </si>
  <si>
    <t>Berkedudukan di Malaysia.</t>
  </si>
  <si>
    <t>PAMG</t>
  </si>
  <si>
    <t>PT BIMA SAKTI PERTIWI</t>
  </si>
  <si>
    <t>PLIN</t>
  </si>
  <si>
    <t>PLAZA INDONESIA REALTY</t>
  </si>
  <si>
    <t>POLL</t>
  </si>
  <si>
    <t>PT POLLUX PROPERTI INDONESIA</t>
  </si>
  <si>
    <t>PPRO</t>
  </si>
  <si>
    <t>PT PP PROPERTI</t>
  </si>
  <si>
    <t>PTPP</t>
  </si>
  <si>
    <t>PT PP</t>
  </si>
  <si>
    <t>PUDP</t>
  </si>
  <si>
    <t>PT PUDJIADI PRESTIGE</t>
  </si>
  <si>
    <t>PWON</t>
  </si>
  <si>
    <t>PT PAKUWON JATI</t>
  </si>
  <si>
    <t>Pakuwon Prima Pte Ltd.; Artius Grandis Pte Ltd.</t>
  </si>
  <si>
    <t>RBMS</t>
  </si>
  <si>
    <t>PT RISTIA BINTANG MAHKOTASEJATI</t>
  </si>
  <si>
    <t>RDTX</t>
  </si>
  <si>
    <t>PT RODA VIVATEX</t>
  </si>
  <si>
    <t>RISE</t>
  </si>
  <si>
    <t>PT JAYA SUKSES MAKMUR SENTOSA</t>
  </si>
  <si>
    <t>SMRA</t>
  </si>
  <si>
    <t>PT SUMMARECON AGUNG</t>
  </si>
  <si>
    <t>SSIA</t>
  </si>
  <si>
    <t>PT SURYA SEMESTA INTERNUSA</t>
  </si>
  <si>
    <t>TARA</t>
  </si>
  <si>
    <t>PT SITARA PROPERTINDO</t>
  </si>
  <si>
    <t>TOPS</t>
  </si>
  <si>
    <t>PT TOTALINDO EKA PERSADA</t>
  </si>
  <si>
    <t>TOTL</t>
  </si>
  <si>
    <t>PT TOTAL BANGUN PERSADA</t>
  </si>
  <si>
    <t>WEGE</t>
  </si>
  <si>
    <t>PT WIJAYA KARYA BANGUNAN GEDUNG</t>
  </si>
  <si>
    <t>WIKA</t>
  </si>
  <si>
    <t>PT WIJAYA KARYA</t>
  </si>
  <si>
    <t>WSKT</t>
  </si>
  <si>
    <t>PT WASKITA KARYA</t>
  </si>
  <si>
    <t>ACES</t>
  </si>
  <si>
    <t>PT ACE HARDWARE INDONESIA</t>
  </si>
  <si>
    <t>ABMM</t>
  </si>
  <si>
    <t>PT ABM INVESTAMA</t>
  </si>
  <si>
    <t>Halcon Primo Logistic Pte. Ltd.; Mega Strada Pte. Ltd.; Valle Verde Pte. Ltd.</t>
  </si>
  <si>
    <t>ASGR</t>
  </si>
  <si>
    <t>PT ASTRA GRAPHIA</t>
  </si>
  <si>
    <t>AKRA</t>
  </si>
  <si>
    <t>PT AKR CORPORINDO</t>
  </si>
  <si>
    <t>AKR Coal Trading Co. Ltd.; Lubrindo Shipping Services Pte. Ltd.</t>
  </si>
  <si>
    <t>Berkedudukan di China dan Singapura.</t>
  </si>
  <si>
    <t>AMRT</t>
  </si>
  <si>
    <t>PT SUMBER ALFARIA TRIJAYA</t>
  </si>
  <si>
    <t>Alfamart Retail Asia Pte. Ltd.; Alfamart Trading Phillipines, Inc.</t>
  </si>
  <si>
    <t>Berkedudukan di Singapura dan Filipina.</t>
  </si>
  <si>
    <t>ATIC</t>
  </si>
  <si>
    <t>ANABATIC TECHNOLOGIES</t>
  </si>
  <si>
    <t>Anabatic Technologies International Pte. Ltd.; Karyaputra Suryagemilang International Inc.; Computrade technology Philippines Inc.; Computrade Technology Malaysia Sdn. Bhd.; Iki Pay International Limited</t>
  </si>
  <si>
    <t>Berkedudukan di Singapura, Philipina, Malaysia, Taiwan dan Hongkong.</t>
  </si>
  <si>
    <t>BHIT</t>
  </si>
  <si>
    <t>PT MNC INVESTAMA</t>
  </si>
  <si>
    <t>MNC International Middle East Limited; MNC International Limited; Letang Game Ltd.; Winfly Ltd; Ottawa International Pte. Ltd.</t>
  </si>
  <si>
    <t>Berkeduddukan di United Emirates Arab, Caymand Island, China, British Virgin Island, dan Singapura.</t>
  </si>
  <si>
    <t>BMSR</t>
  </si>
  <si>
    <t>PT BINTANG MITRA SEMESTARAYA</t>
  </si>
  <si>
    <t>Bittlestone Capital Inc.</t>
  </si>
  <si>
    <t>Berkedudukan di British Virgin Island.</t>
  </si>
  <si>
    <t>BMTR</t>
  </si>
  <si>
    <t>PT GLOBAL MEDIACOM</t>
  </si>
  <si>
    <t>CARS</t>
  </si>
  <si>
    <t>PT INDUSTRI DAN PERDAGANGAN</t>
  </si>
  <si>
    <t>CNKO</t>
  </si>
  <si>
    <t>PT EXPLOITASI ENERGI INDONESIA</t>
  </si>
  <si>
    <t>CSAP</t>
  </si>
  <si>
    <t>PT CATUR SENTOSA ADIPRANA</t>
  </si>
  <si>
    <t>DPUM</t>
  </si>
  <si>
    <t>PT DUA PUTRA UTAMA MAKMUR</t>
  </si>
  <si>
    <t>DUCK</t>
  </si>
  <si>
    <t>PT JAYA BERSAMA INDO</t>
  </si>
  <si>
    <t>DYAN</t>
  </si>
  <si>
    <t>PT DYANDRA MEDIA INTERNATIONAL</t>
  </si>
  <si>
    <t>EMTK</t>
  </si>
  <si>
    <t>PT ELANG MAHKOTA TEKNOLOGI</t>
  </si>
  <si>
    <t>Creative Media Works Pte. Ltd.; Whisper Media Pte. Ltd.</t>
  </si>
  <si>
    <t>ERAA</t>
  </si>
  <si>
    <t>PT ERAJAYA SWASEMBADA</t>
  </si>
  <si>
    <t>Erajaya Swasembada Pte. Ltd; Era International Network Sdn. Bhd.</t>
  </si>
  <si>
    <t>Berkedudukan di Singapura dan Malaysia.</t>
  </si>
  <si>
    <t>FILM</t>
  </si>
  <si>
    <t>PT MD PICTURES</t>
  </si>
  <si>
    <t>HDIT</t>
  </si>
  <si>
    <t>PT HENSEL DAVEST INDONESIA</t>
  </si>
  <si>
    <t>HEAL</t>
  </si>
  <si>
    <t>PT MEDIKALOKA HERMINA</t>
  </si>
  <si>
    <t>HERO</t>
  </si>
  <si>
    <t>PT HERO SUPERMARKET</t>
  </si>
  <si>
    <t>Guardian Health and Beauty Sdn. Bhd.; IKEA Taiwan; IKEA Hong Kong; Mulgrave Corporation B.V.</t>
  </si>
  <si>
    <t>Berkedudukan di Malaysia, Taiwan, Hong Kong dan Netherlands</t>
  </si>
  <si>
    <t>HEXA</t>
  </si>
  <si>
    <t>PT HEXINDO ADIPERKASA</t>
  </si>
  <si>
    <t>Hitachi Construction Machinery Asia and Pacific Pte. Ltd.; Hitachi Construction Machinery Sdn Bhd.;</t>
  </si>
  <si>
    <t>HKMU</t>
  </si>
  <si>
    <t>PT HK METALS UTAMA</t>
  </si>
  <si>
    <t>IKAI</t>
  </si>
  <si>
    <t>PT INTIKERAMIK ALAMASRI</t>
  </si>
  <si>
    <t>HOTL</t>
  </si>
  <si>
    <t>IPTV</t>
  </si>
  <si>
    <t>PT MNC VISION NETWORKS</t>
  </si>
  <si>
    <t>KOBX</t>
  </si>
  <si>
    <t>PT KOBEXINDO TRACTORS</t>
  </si>
  <si>
    <t>KREN</t>
  </si>
  <si>
    <t>PT KRESNA GRAHA INVESTAMA</t>
  </si>
  <si>
    <t>Pacifica Growth Investments Pte., Ltd.; Queenstown Growth Investment Pte., Ltd;Siskom Pte., Ltd</t>
  </si>
  <si>
    <t>LINK</t>
  </si>
  <si>
    <t>PT LINK NET</t>
  </si>
  <si>
    <t>Link Net Global Solution Pte. Ltd.</t>
  </si>
  <si>
    <t>LPPF</t>
  </si>
  <si>
    <t>PT MATAHARI DEPARTMENT STORE</t>
  </si>
  <si>
    <t>LTLS</t>
  </si>
  <si>
    <t>PT LAUTAN LUAS</t>
  </si>
  <si>
    <t>Lautan Luas Singapore Pte. Ltd.; Lautan Luas Vietnam Co. Ltd.; Lautan Luas Thailan Co. Ltd; Lautan Luas Trading (Shanghai) Co. Ltd.</t>
  </si>
  <si>
    <t>Berkedudukan di Singapura, Vietnam, Thailand dan China.</t>
  </si>
  <si>
    <t>MAMI</t>
  </si>
  <si>
    <t>PT MAS MURNI INDONESIA</t>
  </si>
  <si>
    <t>MAPI</t>
  </si>
  <si>
    <t>PT MITRA ADIPERKASA</t>
  </si>
  <si>
    <t>Map Active Pte. Ltd.; Map Active Trading Pte. Ltd.; Map Active International Sdn. Bhd.; Bersama Karunia Mandiri Vietnam Co. Ltd</t>
  </si>
  <si>
    <t>Berkedudukan di Singapura, Thailand, Malaysia, dan Vietnam.</t>
  </si>
  <si>
    <t>MDIA</t>
  </si>
  <si>
    <t>PT INTERMEDIA CAPITAL</t>
  </si>
  <si>
    <t>MDRN</t>
  </si>
  <si>
    <t xml:space="preserve">PT MODERN INTERNATIONAL </t>
  </si>
  <si>
    <t>MIKA</t>
  </si>
  <si>
    <t>PT MITRA KELUARGA KARYASEHAT</t>
  </si>
  <si>
    <t>MLPL</t>
  </si>
  <si>
    <t>PT MULTIPOLAR</t>
  </si>
  <si>
    <t>MLPT</t>
  </si>
  <si>
    <t>PT MULTIPOLAR TECHNOLOGY</t>
  </si>
  <si>
    <t>MNCN</t>
  </si>
  <si>
    <t>PT MEDIA NUSANTARA CITRA</t>
  </si>
  <si>
    <t>MNC International Middle East Limited; MNC International Limited; MNC Innoform Pte. Ltd.</t>
  </si>
  <si>
    <t>Berkeduddukan di United Emirates Arab, Caymand Island, dan Singapura.</t>
  </si>
  <si>
    <t>MPMX</t>
  </si>
  <si>
    <t>PT MITRA PHINASTIKA MUSTIKA</t>
  </si>
  <si>
    <t>MPM Global Pte. Ltd.</t>
  </si>
  <si>
    <t>MPPA</t>
  </si>
  <si>
    <t>PT MATAHARI PUTRA PRIMA</t>
  </si>
  <si>
    <t>MSIN</t>
  </si>
  <si>
    <t>PT MNC STUDIOS INTERNATIONAL</t>
  </si>
  <si>
    <t>MSKY</t>
  </si>
  <si>
    <t xml:space="preserve">PT MNC SKY VISION </t>
  </si>
  <si>
    <t>MTDL</t>
  </si>
  <si>
    <t>PT METRODATA ELECTRONICS</t>
  </si>
  <si>
    <t>PJAA</t>
  </si>
  <si>
    <t>PT PEMBANGUNAN JAYA ANCOL</t>
  </si>
  <si>
    <t>PRDA</t>
  </si>
  <si>
    <t>PT PRODIA WIDYAHUSADA</t>
  </si>
  <si>
    <t>PANR</t>
  </si>
  <si>
    <t>PT PANORAMA SENTRAWISATA</t>
  </si>
  <si>
    <t>PZZA</t>
  </si>
  <si>
    <t>PT SARIMELATI KENCANA</t>
  </si>
  <si>
    <t>RALS</t>
  </si>
  <si>
    <t>PT RAMAYANA LESTARI SENTOSA</t>
  </si>
  <si>
    <t>RANC</t>
  </si>
  <si>
    <t>PT SUPRABOGA LESTARI</t>
  </si>
  <si>
    <t>SCMA</t>
  </si>
  <si>
    <t>PT SURYA CITRA MEDIA</t>
  </si>
  <si>
    <t>SDPC</t>
  </si>
  <si>
    <t>PT MILLENNIUM PHARMACON INTERNATIONAL</t>
  </si>
  <si>
    <t>SILO</t>
  </si>
  <si>
    <t>PT SILOAM INTERNATIONAL HOSPITALS</t>
  </si>
  <si>
    <t>Aldo Health Pte Ltd.</t>
  </si>
  <si>
    <t>Pharmaniaga International Corporation Sdn. Bhd.</t>
  </si>
  <si>
    <t>Berkedudukan di Malaysia</t>
  </si>
  <si>
    <t>SONA</t>
  </si>
  <si>
    <t>PT SONA TOPAS TOURISM INDUSTRY</t>
  </si>
  <si>
    <t>DFS Venture Singapore (Pte) Limited</t>
  </si>
  <si>
    <t>SRAJ</t>
  </si>
  <si>
    <t>PT SEJAHTERARAYA ANUGRAHJAYA</t>
  </si>
  <si>
    <t>TELE</t>
  </si>
  <si>
    <t>PT TIPHONE MOBILE INDONESIA</t>
  </si>
  <si>
    <t>TRIO</t>
  </si>
  <si>
    <t>TRIKOMSEL OKE</t>
  </si>
  <si>
    <t>Trikomsel Pte. Ltd.; Trikomsel Singapore Pte. Ltd; Polaris Device Ltd.</t>
  </si>
  <si>
    <t>UNTR</t>
  </si>
  <si>
    <t>UNITED TRACTORS</t>
  </si>
  <si>
    <t>TURI</t>
  </si>
  <si>
    <t>PT TUNAS RIDEAN</t>
  </si>
  <si>
    <t>Unitra Power Pte Ltd.; UT Heavy Industry Pte. Ltd.; Turangga Resources Pte Ltd. ;Acset Indonusa Co. Ltd.</t>
  </si>
  <si>
    <t>VIVA</t>
  </si>
  <si>
    <t>PT VISI MEDIA ASIA</t>
  </si>
  <si>
    <t>Bukan perusahaan multinasional (Multinational Enterprise).</t>
  </si>
  <si>
    <t>Dikurangi:</t>
  </si>
  <si>
    <t>Perusahaan</t>
  </si>
  <si>
    <t>IFII</t>
  </si>
  <si>
    <t>INDONESIA FIBREBOARD INDUSTRY</t>
  </si>
  <si>
    <t>PURE</t>
  </si>
  <si>
    <t>PT TRINITAN METALS AND MINERALS</t>
  </si>
  <si>
    <t>SAMF</t>
  </si>
  <si>
    <t>SARASWANTI ANUGERAH MAKMUR</t>
  </si>
  <si>
    <t>Satyamitra Kemas Lestari Tbk.</t>
  </si>
  <si>
    <t>SMKL</t>
  </si>
  <si>
    <t>TKIM</t>
  </si>
  <si>
    <t xml:space="preserve">Pabrik Kertas Tjiwi Kimia </t>
  </si>
  <si>
    <t>SOHO</t>
  </si>
  <si>
    <t>SOHO GLOBAL HEALTH</t>
  </si>
  <si>
    <t>VICI</t>
  </si>
  <si>
    <t>Victoria Care Indonesia</t>
  </si>
  <si>
    <t>RB Permana Agung Dradjattun</t>
  </si>
  <si>
    <t>Ex - Direktur Jenderal Bea dan Cukai</t>
  </si>
  <si>
    <t>Marzuki Usman</t>
  </si>
  <si>
    <t>Ex - Menteri Kehutanan dan Perkebunan RI (2001), Ex - Menteri Negara Investasi Indonesia (1999)</t>
  </si>
  <si>
    <t>mantan Komandan Pusat Polisi Militer Angkatan Darat RI tahun 2006 – 2008 dan Asisten Pengamanan Kepala Staf Angkatan Darat tahun 2008 – 2010.</t>
  </si>
  <si>
    <t>MAY.JEND.TNI (PURN) DRS.HENDARDJI SOEPANDJI, SH</t>
  </si>
  <si>
    <t>Laksamana Madya (Purn.) Soedibyo Rahardjo</t>
  </si>
  <si>
    <t>Duta Besar Indonesia untuk Singapura (1992-1995)</t>
  </si>
  <si>
    <t>Bambang Subianto</t>
  </si>
  <si>
    <t>pernah menjabat sebagai Menteri Keuangan Republik Indonesia (1998-1999) dan Direktur Jenderal Lembaga Keuangan di Departemen Keuangan Republik Indonesia (1992-1998).</t>
  </si>
  <si>
    <t>Menteri Kesehatan Indonesia Kabinet Pembangunan VII, Menteri Kesehatan Indonesia Kabinet Reformasi Pembangunan, anggota MPR RI (1999)</t>
  </si>
  <si>
    <t>Farid Anfasa Moeloek</t>
  </si>
  <si>
    <t>Ex - Staf Ahli KAPOLRI (2010)</t>
  </si>
  <si>
    <t>Adjie Rustam Ramdja</t>
  </si>
  <si>
    <t>Wahyu Hidayat</t>
  </si>
  <si>
    <t>Ex- Deputi Menteri bidang Restrukturisasi dan Perencanaan Strategis (2013- 2014)</t>
  </si>
  <si>
    <t>Putri Kuswisnu Wardani, MBA</t>
  </si>
  <si>
    <t>Anggota Dewan Pertimbangan Presiden Republik Indonesia (2019-sekarang</t>
  </si>
  <si>
    <t>EDDY ABDURRACHMAN</t>
  </si>
  <si>
    <t>Ex - Direktur Jenderal Bea dan Cukai di Departemen Keuangan Republik Indonesia</t>
  </si>
  <si>
    <t>Jusuf Arbianto Tjondrolukito</t>
  </si>
  <si>
    <t>Arbiter di Badan Arbitrase Nasional Indonesia</t>
  </si>
  <si>
    <t>Kustantinah</t>
  </si>
  <si>
    <t>Julian Aldrin Pasha</t>
  </si>
  <si>
    <t>Suparni Parto Setiono</t>
  </si>
  <si>
    <t>Ex - Juru Bicara Kepresidenan</t>
  </si>
  <si>
    <t>Ex - Kepala Badan POM RI</t>
  </si>
  <si>
    <t>Ex - Kepala Badan Intelijen Keamanan POLRI</t>
  </si>
  <si>
    <t>Anggota Komite Hukum Kementerian Negara BUMN (2008-sekarang);</t>
  </si>
  <si>
    <t>Hikmahanto Juwana</t>
  </si>
  <si>
    <t>Duta Besar Republik Indonesia untuk Irak (2012), Inspektur Jendral Departemen Pertahanan (2008), Inspektur Jendral TNI AL (2007), Komandan Korps Marinir (2005</t>
  </si>
  <si>
    <t>Safzen Noerdin</t>
  </si>
  <si>
    <t>AI MULYADI MAMOER</t>
  </si>
  <si>
    <t>Ex - Kepala Departemen Perencanaan di Kementerian Pariwisata, Pos dan Telekomunikas</t>
  </si>
  <si>
    <t>Dr. Muhamad Chatib Basri</t>
  </si>
  <si>
    <t>Ex - Menteri Keuangan Republik Indonesia (2013 - 2014)</t>
  </si>
  <si>
    <t>Direktur Penerimaan Negara Bukan Pajak dan Badan Layanan Umum Kementerian Keuangan.</t>
  </si>
  <si>
    <t>Sahala Lumban Gaol</t>
  </si>
  <si>
    <t>Jusman Syafii Djamal</t>
  </si>
  <si>
    <t>Ex -  Menteri Perhubungan RI (2007 - 2009)</t>
  </si>
  <si>
    <t>ARIEF RUDIANTO</t>
  </si>
  <si>
    <t>Ex - Laksamana Muda Angkatan Laut Republik Indonesia.</t>
  </si>
  <si>
    <t>Heru Pambudi</t>
  </si>
  <si>
    <t>Direktur Jenderal Bea dan Cukai Kementerian Keuangan RI</t>
  </si>
  <si>
    <t>Staf Ahli Menteri Keuangan Bidang Kebijakan Penerimaan Negara Kementerian Keuangan</t>
  </si>
  <si>
    <t>LUKY ALFIRMAN</t>
  </si>
  <si>
    <t>IGN. Wiratmaja Puja</t>
  </si>
  <si>
    <t>Ex - Staf Ahli Menteri Keuangan Bidang Kebijakan Penerimaan Negara Kementerian Keuangan</t>
  </si>
  <si>
    <t>Agusman Effendi</t>
  </si>
  <si>
    <t>Ex - Wakil Ketua Komisi VIII DPR RI Energi, Sumber Daya Mineral, Lingkungan Hidup, Riset dan Teknologi pada tahun 2001 – 2004 dan sebagai Ketua Komisi VII DPR RI Bidang Energi, Sumber Daya Mineral, Lingkungan Hidup, Riset dan Teknologi pada tahun 2004 – 2007 dan sebagai anggota Dewan Energi Nasional (DEN) untuk periode 2009 – 2014.</t>
  </si>
  <si>
    <t>Ex - Menteri Pertambangan dan Energi,</t>
  </si>
  <si>
    <t>Kuntoro Mangkusubroto</t>
  </si>
  <si>
    <t>Direktur Pencatatan PT Bursa Efek Indonesia (2005- 2012), Direktur PT Kliring Penjaminan Efek Indonesia (2000-2005), dan Direktur PT Kustodian Sentral Efek Indonesia (1998-2000)</t>
  </si>
  <si>
    <t>Edy Sugito</t>
  </si>
  <si>
    <t>Mantan Panglima Komando Daerah Militer VI/ Tanjung Pura (2003-2005) Kalimantan,</t>
  </si>
  <si>
    <t>Herry Tjahjana</t>
  </si>
  <si>
    <t>Kementerian Komunikasi dan Informatika Republik Indonesia.</t>
  </si>
  <si>
    <t>Ismail</t>
  </si>
  <si>
    <t>Staf Ahli Menteri Komunikasi dan Informatika Bidang Polkam, Kementerian Komunikasi dan Informatika</t>
  </si>
  <si>
    <t>Cahyana Ahmadjayadi</t>
  </si>
  <si>
    <t>Staf Ahli Menteri Keuangan Bidang Kebijakan dan Regulasi Jasa Keuangan dan Pasar Modal, Kementerian Keuangan (2017-sekarang)</t>
  </si>
  <si>
    <t>Arif Baharudin</t>
  </si>
  <si>
    <t>Jenderal TNI (Purn) Fachrul Razi, S.Ip, S.H., M.H.</t>
  </si>
  <si>
    <t>Purnomo Yusgiantoro</t>
  </si>
  <si>
    <t>Dr.- Ing. Evita Herawati Legowo</t>
  </si>
  <si>
    <t>Ex - Sekretaris Kementerian Koordinator Bidang Politik, Hukum dan Keamanan (2018-2019)</t>
  </si>
  <si>
    <t>Ex - Menteri Pertahanan Republik Indonesia (2009-2014), Menteri Energi dan Sumber Daya Mineral Republik Indonesia (2000-2009)</t>
  </si>
  <si>
    <t>Ex - Direktur Jenderal Minyak dan Gas Bumi (Dirjen Migas) Kementerian Energi dan Sumber Daya Mineral (2008- 2012)</t>
  </si>
  <si>
    <t>Dr. Ir. Bambang Setiawan</t>
  </si>
  <si>
    <t>Mahendra Siregar</t>
  </si>
  <si>
    <t>Wakil Menteri Keuangan (2011- 2013)</t>
  </si>
  <si>
    <t>Direktur Jenderal Mineral dan Batubara ESDM (2008-2011)</t>
  </si>
  <si>
    <t>Menteri Keuangan Republik Indonesia
(2013-2014),</t>
  </si>
  <si>
    <t>MUHAMAD CHATIB BASRI</t>
  </si>
  <si>
    <t>Menteri Perdagangan Republik Indonesia (2014)</t>
  </si>
  <si>
    <t>Muhammad Lutfi</t>
  </si>
  <si>
    <t>Inspektur Jenderal pada Kementerian Hukum dan HAM</t>
  </si>
  <si>
    <t>Jhoni Ginting, S.H., M.H.</t>
  </si>
  <si>
    <t>Robert HerI</t>
  </si>
  <si>
    <t>Kepala Dinas Energi Sumber Daya Mineral (ESDM) Provinsi Sumatera Selatan (2016-sekarang)</t>
  </si>
  <si>
    <t>Fachry Ali</t>
  </si>
  <si>
    <t>Anggota Penasehat Ahli Kapolri Bidang Politik-Ekonomi (1998-sekarang)</t>
  </si>
  <si>
    <t>x</t>
  </si>
  <si>
    <t>Deputi Menteri Negara/Deputi Kepala Badan Penanaman Modal dan Pembinaan BUMN Bidang Pengawasan dan Pengendalian, Kantor Menteri Negara BUMN (2000-2001)</t>
  </si>
  <si>
    <t>Bacelius Ruru</t>
  </si>
  <si>
    <t>Ex - Wakil Panglima TNI</t>
  </si>
  <si>
    <t>Fachrul Razi</t>
  </si>
  <si>
    <t>Senior Policy Advisor untuk Kementerian Pendayagunaan Aparatur Negara (2012),</t>
  </si>
  <si>
    <t>Johanes Berchmans Kristiadi</t>
  </si>
  <si>
    <t>Kepala Bidang Analisa Pajak Daerah, Badan Analisa Keuangan Negara, Perkreditan dan Neraca Pembayaran (1992)</t>
  </si>
  <si>
    <t>Drs. Pande Putu Raka, MA</t>
  </si>
  <si>
    <t>H. Syamsir Siregar</t>
  </si>
  <si>
    <t>Ex - Kepala Badan Intelijen ABRI.</t>
  </si>
  <si>
    <t>Astera Primanto Bhakti</t>
  </si>
  <si>
    <t>Ex - Staf Ahli Menteri Keuangan Bidang Kebijakan Penerimaan Negara (2015-2017)</t>
  </si>
  <si>
    <t>Farid Harianto</t>
  </si>
  <si>
    <t>Ex - Staf Khusus Wakil Presiden Republik Indonesia (2009-2014)</t>
  </si>
  <si>
    <t>Ex - Menteri Keuangan Republik Indonesia
(2013-2014)</t>
  </si>
  <si>
    <t>Direktur Jenderal Kerjasama Industri Internasional Kementerian Perindustrian (2010-2015)</t>
  </si>
  <si>
    <t>Agus Tjahajana Wirakusumah</t>
  </si>
  <si>
    <t>Maria Kristi Endah Murni</t>
  </si>
  <si>
    <t>Direktur Angkutan Udara Kementerian Perhubungan (20 April 2017 – Sekarang)</t>
  </si>
  <si>
    <t>Sutanto</t>
  </si>
  <si>
    <t>Kepala Badan Intelijen Negara Republik Indonesia
periode 2010-2011</t>
  </si>
  <si>
    <t>Todo Sihombing</t>
  </si>
  <si>
    <t>Ex - Kepala Staf Komando Daerah Militer VII/WRB</t>
  </si>
  <si>
    <t>Biro Penilaian Perusahaan di Bapepam LK 1983 –
1992</t>
  </si>
  <si>
    <t>Supandi Widi Siswanto</t>
  </si>
  <si>
    <t>Akrab dengan Ex - Wapres, Jusuf Kalla.</t>
  </si>
  <si>
    <t>Abidin Hasibuan, pemilik 66% modal saham</t>
  </si>
  <si>
    <t>Staf Ahli Menko bidang Pengawasan Pembangunan dan Pendayagunaan Aparatur Negara (1998-1999)</t>
  </si>
  <si>
    <t>Kumhal Djamil</t>
  </si>
  <si>
    <t>Staf Khusus Menteri Pertahanan bidang Polhukam (2005-2009)</t>
  </si>
  <si>
    <t>Sofian Effendi</t>
  </si>
  <si>
    <t>Sekretaris Kementerian BUMN (2001-2004)</t>
  </si>
  <si>
    <t>SUSIYATI BAMBANG HIRAWAN</t>
  </si>
  <si>
    <t>Deputi Bidang Ekonomi dari Sekretaris Wakil Presiden RI (2000-2007),</t>
  </si>
  <si>
    <t>1988 – 1993 Menteri Tenaga Kerja</t>
  </si>
  <si>
    <t>Cosmas Batubara</t>
  </si>
  <si>
    <t>Wakil Ketua Komisi VI DPR RI membidangi Pariwisata, Kepemudaan dan Kebudayaan (2007-2009)</t>
  </si>
  <si>
    <t>Didik Junaedi Rachbini</t>
  </si>
  <si>
    <t>Wakil Ketua Badan Arbritase Nasional Indonesia (BANI)</t>
  </si>
  <si>
    <t>Anangga Wardhana Roosdiono</t>
  </si>
  <si>
    <t>Irwasum Polri dan Komisaris Jenderal Polisi (2014);</t>
  </si>
  <si>
    <t>Dwi Priyatno</t>
  </si>
  <si>
    <t>Wakil Menteri Keuangan (2011 – 2013)</t>
  </si>
  <si>
    <t>Ex - Menteri Keuangan RI (2010 - 2013)</t>
  </si>
  <si>
    <t>Agus D.W. Martowardojo</t>
  </si>
  <si>
    <t>Ahwil Loetan</t>
  </si>
  <si>
    <t>Komisaris Jedneral Polisi</t>
  </si>
  <si>
    <t>Hary Tanoesoedibjo</t>
  </si>
  <si>
    <t>Ketua umum Partai Persatuan Indonesia</t>
  </si>
  <si>
    <t>Wakil Ketua Komisi Pemberantasan Korupsi (KPK) (2003 - 2007)</t>
  </si>
  <si>
    <t>Erry Riyana Hardjapamekas</t>
  </si>
  <si>
    <t>Kementerian Keuangan dan Otoritas Jasa Keuangan, berbagai posisi (1995–2013)</t>
  </si>
  <si>
    <t>Robinson P. Simbolon</t>
  </si>
  <si>
    <t>Sekretaris Jenderal Departemen Pariwisata, Pos dan Telekomunikasi (1991-1998),</t>
  </si>
  <si>
    <t>JONATHAN LIMBONG PARAPAK</t>
  </si>
  <si>
    <t>Direktur Jenderal Perdagangan Dalam Neger</t>
  </si>
  <si>
    <t>Rifana Erni</t>
  </si>
  <si>
    <t>G.B.P.H.H. Prabukusumo, S.Psi</t>
  </si>
  <si>
    <t>Mantan Ketua DPD Partai Demokrat D.I Yogyakarta</t>
  </si>
  <si>
    <t>Ex - Kepala Badan Intelijen Negara RI (2010-2011)</t>
  </si>
  <si>
    <t>Raden Soeyono</t>
  </si>
  <si>
    <t>Sekretaris Jenderal Departemen Pertahanan dan Keamanan</t>
  </si>
  <si>
    <t>Dr Nyoman Kumara Rai</t>
  </si>
  <si>
    <t>Ex - Penasehat Senior Menteri Kesehatan</t>
  </si>
  <si>
    <t>Wakil Ketua Dewan Pembina Partai Golkar (2016-Sekarang)</t>
  </si>
  <si>
    <t>Theo Leo Sambuaga</t>
  </si>
  <si>
    <t>Dai Bachtiar</t>
  </si>
  <si>
    <t>Ex - Kepala Kepolisian Negara Republik Indonesia periode 2001 – 2005.</t>
  </si>
  <si>
    <t>Komisaris Jendral Polisi</t>
  </si>
  <si>
    <t>Nanan Sukarna</t>
  </si>
  <si>
    <t>Seluruh perusahaan yang terdaftar di Bursa Efek Indonesia sampai dengan Tahun 2020</t>
  </si>
  <si>
    <t>Kode</t>
  </si>
  <si>
    <t>Score</t>
  </si>
  <si>
    <t>Q1</t>
  </si>
  <si>
    <t>Q2</t>
  </si>
  <si>
    <t>Q3</t>
  </si>
  <si>
    <t>Marketing Sales</t>
  </si>
  <si>
    <t>s</t>
  </si>
  <si>
    <t>Total Score</t>
  </si>
  <si>
    <t>Total Score (2017)</t>
  </si>
  <si>
    <t>Total Score (2018)</t>
  </si>
  <si>
    <t>Total Score (2019)</t>
  </si>
  <si>
    <t>Dummy</t>
  </si>
  <si>
    <t>sampel</t>
  </si>
  <si>
    <t>x1</t>
  </si>
  <si>
    <t>x2</t>
  </si>
  <si>
    <t>x3</t>
  </si>
  <si>
    <t>y</t>
  </si>
  <si>
    <t>z</t>
  </si>
  <si>
    <t>x1_z</t>
  </si>
  <si>
    <t>x2_z</t>
  </si>
  <si>
    <t>x3_z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</si>
</sst>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(* #,##0.00000000000000_);_(* \(#,##0.00000000000000\);_(* &quot;-&quot;??_);_(@_)"/>
    <numFmt numFmtId="165" formatCode="_(* #,##0.00000_);_(* \(#,##0.00000\);_(* &quot;-&quot;??_);_(@_)"/>
    <numFmt numFmtId="166" formatCode="_(* #,##0.000000_);_(* \(#,##0.000000\);_(* &quot;-&quot;??_);_(@_)"/>
    <numFmt numFmtId="167" formatCode="_(* #,##0_);_(* \(#,##0\);_(* &quot;-&quot;??_);_(@_)"/>
    <numFmt numFmtId="168" formatCode="0.00000"/>
    <numFmt numFmtId="169" formatCode="0_);\(0\)"/>
    <numFmt numFmtId="170" formatCode="_(* #,##0.0000000000000_);_(* \(#,##0.0000000000000\);_(* &quot;-&quot;??_);_(@_)"/>
    <numFmt numFmtId="171" formatCode="#,##0.00000_);\(#,##0.00000\)"/>
    <numFmt numFmtId="172" formatCode="0.00000_);\(0.00000\)"/>
  </numFmts>
  <fonts count="34" x14ac:knownFonts="1">
    <font>
      <sz val="11"/>
      <color theme="1"/>
      <name val="Arial"/>
    </font>
    <font>
      <sz val="11"/>
      <color theme="1"/>
      <name val="Calibri"/>
    </font>
    <font>
      <sz val="11"/>
      <color theme="1"/>
      <name val="Calibri"/>
      <family val="2"/>
      <scheme val="major"/>
    </font>
    <font>
      <sz val="11"/>
      <color theme="1"/>
      <name val="Arial"/>
    </font>
    <font>
      <b/>
      <sz val="11"/>
      <color theme="1"/>
      <name val="Calibri"/>
      <family val="2"/>
      <scheme val="major"/>
    </font>
    <font>
      <b/>
      <sz val="9"/>
      <color theme="1"/>
      <name val="Calibri"/>
      <family val="2"/>
      <scheme val="major"/>
    </font>
    <font>
      <b/>
      <sz val="10"/>
      <color theme="1"/>
      <name val="Calibri"/>
      <family val="2"/>
      <scheme val="major"/>
    </font>
    <font>
      <sz val="11"/>
      <color rgb="FF000000"/>
      <name val="Calibri"/>
      <family val="2"/>
      <scheme val="major"/>
    </font>
    <font>
      <sz val="11"/>
      <name val="Calibri"/>
      <family val="2"/>
      <scheme val="major"/>
    </font>
    <font>
      <i/>
      <sz val="11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u/>
      <sz val="12"/>
      <color rgb="FF000000"/>
      <name val="Calibri"/>
      <family val="2"/>
      <scheme val="major"/>
    </font>
    <font>
      <sz val="12"/>
      <color rgb="FF000000"/>
      <name val="Calibri"/>
      <family val="2"/>
      <scheme val="major"/>
    </font>
    <font>
      <sz val="7"/>
      <color theme="1"/>
      <name val="Calibri"/>
      <family val="2"/>
      <scheme val="major"/>
    </font>
    <font>
      <sz val="7"/>
      <color rgb="FF000000"/>
      <name val="Calibri"/>
      <family val="2"/>
      <scheme val="major"/>
    </font>
    <font>
      <sz val="11"/>
      <name val="Calibri"/>
      <family val="2"/>
    </font>
    <font>
      <sz val="11"/>
      <color rgb="FF3C3C3C"/>
      <name val="Calibri"/>
      <family val="2"/>
      <scheme val="major"/>
    </font>
    <font>
      <sz val="11"/>
      <color rgb="FF333539"/>
      <name val="Calibri"/>
      <family val="2"/>
      <scheme val="maj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ajor"/>
    </font>
    <font>
      <b/>
      <u/>
      <sz val="11"/>
      <color theme="0"/>
      <name val="Calibri"/>
      <family val="2"/>
      <scheme val="major"/>
    </font>
    <font>
      <i/>
      <sz val="12"/>
      <color theme="1"/>
      <name val="Calibri"/>
      <family val="2"/>
      <scheme val="major"/>
    </font>
    <font>
      <sz val="9"/>
      <color theme="1"/>
      <name val="Calibri"/>
      <family val="2"/>
      <scheme val="major"/>
    </font>
    <font>
      <sz val="10"/>
      <color theme="1"/>
      <name val="Calibri"/>
      <family val="2"/>
      <scheme val="major"/>
    </font>
    <font>
      <sz val="11"/>
      <color rgb="FF333333"/>
      <name val="Calibri"/>
      <family val="2"/>
      <scheme val="major"/>
    </font>
    <font>
      <sz val="11"/>
      <color theme="1"/>
      <name val="Arial"/>
      <family val="2"/>
    </font>
    <font>
      <sz val="11"/>
      <color theme="3"/>
      <name val="Calibri"/>
      <family val="2"/>
      <scheme val="major"/>
    </font>
    <font>
      <sz val="8"/>
      <color theme="1"/>
      <name val="Calibri"/>
      <family val="2"/>
      <scheme val="major"/>
    </font>
    <font>
      <b/>
      <sz val="11"/>
      <color theme="1"/>
      <name val="Arial"/>
      <family val="2"/>
    </font>
    <font>
      <b/>
      <sz val="11"/>
      <name val="Calibri"/>
      <family val="2"/>
      <scheme val="major"/>
    </font>
    <font>
      <sz val="1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rgb="FF9BC2E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74">
    <xf numFmtId="0" fontId="0" fillId="0" borderId="0" xfId="0" applyFont="1" applyAlignment="1"/>
    <xf numFmtId="0" fontId="2" fillId="0" borderId="0" xfId="0" applyFont="1" applyAlignment="1"/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43" fontId="4" fillId="0" borderId="9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3" borderId="0" xfId="0" applyFont="1" applyFill="1" applyAlignment="1"/>
    <xf numFmtId="0" fontId="15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2" fillId="5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8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167" fontId="8" fillId="0" borderId="9" xfId="1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167" fontId="2" fillId="0" borderId="9" xfId="1" applyNumberFormat="1" applyFont="1" applyFill="1" applyBorder="1" applyAlignment="1">
      <alignment horizontal="center" vertical="center"/>
    </xf>
    <xf numFmtId="43" fontId="2" fillId="0" borderId="9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3" fontId="2" fillId="0" borderId="6" xfId="1" applyNumberFormat="1" applyFont="1" applyFill="1" applyBorder="1" applyAlignment="1">
      <alignment horizontal="center" vertical="center"/>
    </xf>
    <xf numFmtId="43" fontId="2" fillId="0" borderId="6" xfId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43" fontId="2" fillId="0" borderId="0" xfId="1" applyFont="1" applyFill="1" applyAlignment="1"/>
    <xf numFmtId="0" fontId="4" fillId="0" borderId="9" xfId="0" applyFont="1" applyBorder="1" applyAlignment="1">
      <alignment horizontal="center" vertical="center"/>
    </xf>
    <xf numFmtId="0" fontId="2" fillId="6" borderId="0" xfId="0" applyFont="1" applyFill="1" applyAlignment="1"/>
    <xf numFmtId="0" fontId="2" fillId="6" borderId="0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 wrapText="1"/>
    </xf>
    <xf numFmtId="0" fontId="2" fillId="7" borderId="0" xfId="0" applyFont="1" applyFill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7" fontId="2" fillId="0" borderId="0" xfId="1" applyNumberFormat="1" applyFont="1" applyFill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43" fontId="2" fillId="0" borderId="4" xfId="1" applyFont="1" applyFill="1" applyBorder="1" applyAlignment="1">
      <alignment horizontal="center" vertical="center"/>
    </xf>
    <xf numFmtId="43" fontId="2" fillId="0" borderId="18" xfId="1" applyFont="1" applyFill="1" applyBorder="1" applyAlignment="1">
      <alignment horizontal="center" vertical="center"/>
    </xf>
    <xf numFmtId="43" fontId="2" fillId="0" borderId="0" xfId="1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7" fontId="4" fillId="0" borderId="9" xfId="1" applyNumberFormat="1" applyFont="1" applyFill="1" applyBorder="1" applyAlignment="1">
      <alignment horizontal="center" vertical="center" wrapText="1"/>
    </xf>
    <xf numFmtId="43" fontId="4" fillId="0" borderId="9" xfId="1" applyNumberFormat="1" applyFont="1" applyFill="1" applyBorder="1" applyAlignment="1">
      <alignment horizontal="center" vertical="center" wrapText="1"/>
    </xf>
    <xf numFmtId="43" fontId="4" fillId="0" borderId="6" xfId="1" applyFont="1" applyFill="1" applyBorder="1" applyAlignment="1">
      <alignment horizontal="center" vertical="center" wrapText="1"/>
    </xf>
    <xf numFmtId="43" fontId="4" fillId="0" borderId="6" xfId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43" fontId="2" fillId="0" borderId="5" xfId="1" applyNumberFormat="1" applyFont="1" applyFill="1" applyBorder="1" applyAlignment="1">
      <alignment horizontal="center" vertical="center"/>
    </xf>
    <xf numFmtId="43" fontId="2" fillId="0" borderId="5" xfId="1" applyFont="1" applyFill="1" applyBorder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43" fontId="2" fillId="0" borderId="1" xfId="1" applyNumberFormat="1" applyFont="1" applyFill="1" applyBorder="1" applyAlignment="1">
      <alignment horizontal="center" vertical="center"/>
    </xf>
    <xf numFmtId="43" fontId="2" fillId="0" borderId="9" xfId="1" applyNumberFormat="1" applyFont="1" applyFill="1" applyBorder="1" applyAlignment="1">
      <alignment horizontal="center" vertical="center"/>
    </xf>
    <xf numFmtId="43" fontId="2" fillId="0" borderId="9" xfId="1" applyNumberFormat="1" applyFont="1" applyFill="1" applyBorder="1" applyAlignment="1"/>
    <xf numFmtId="43" fontId="2" fillId="9" borderId="0" xfId="1" applyFont="1" applyFill="1" applyAlignment="1">
      <alignment horizontal="center" vertical="center"/>
    </xf>
    <xf numFmtId="43" fontId="2" fillId="9" borderId="6" xfId="1" applyFont="1" applyFill="1" applyBorder="1" applyAlignment="1">
      <alignment horizontal="center" vertical="center"/>
    </xf>
    <xf numFmtId="43" fontId="2" fillId="9" borderId="9" xfId="1" applyFont="1" applyFill="1" applyBorder="1" applyAlignment="1">
      <alignment horizontal="center" vertical="center"/>
    </xf>
    <xf numFmtId="43" fontId="2" fillId="6" borderId="0" xfId="1" applyFont="1" applyFill="1" applyAlignment="1">
      <alignment horizontal="center" vertical="center"/>
    </xf>
    <xf numFmtId="164" fontId="2" fillId="6" borderId="9" xfId="1" applyNumberFormat="1" applyFont="1" applyFill="1" applyBorder="1" applyAlignment="1">
      <alignment horizontal="center" vertical="center"/>
    </xf>
    <xf numFmtId="43" fontId="2" fillId="6" borderId="9" xfId="1" applyFont="1" applyFill="1" applyBorder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2" fillId="11" borderId="9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165" fontId="2" fillId="7" borderId="6" xfId="0" applyNumberFormat="1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43" fontId="22" fillId="13" borderId="9" xfId="1" applyFont="1" applyFill="1" applyBorder="1" applyAlignment="1">
      <alignment horizontal="center" vertical="center" wrapText="1"/>
    </xf>
    <xf numFmtId="43" fontId="22" fillId="8" borderId="9" xfId="1" applyFont="1" applyFill="1" applyBorder="1" applyAlignment="1">
      <alignment horizontal="center" vertical="center"/>
    </xf>
    <xf numFmtId="0" fontId="22" fillId="10" borderId="6" xfId="0" applyFont="1" applyFill="1" applyBorder="1" applyAlignment="1">
      <alignment horizontal="center" vertical="center" wrapText="1"/>
    </xf>
    <xf numFmtId="0" fontId="22" fillId="12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7" fontId="2" fillId="0" borderId="0" xfId="1" applyNumberFormat="1" applyFont="1" applyFill="1" applyAlignment="1"/>
    <xf numFmtId="43" fontId="2" fillId="0" borderId="0" xfId="1" applyNumberFormat="1" applyFont="1" applyFill="1" applyAlignment="1"/>
    <xf numFmtId="43" fontId="2" fillId="0" borderId="0" xfId="1" applyFont="1" applyFill="1" applyAlignment="1">
      <alignment vertical="center"/>
    </xf>
    <xf numFmtId="167" fontId="2" fillId="0" borderId="9" xfId="1" applyNumberFormat="1" applyFont="1" applyFill="1" applyBorder="1"/>
    <xf numFmtId="43" fontId="2" fillId="0" borderId="9" xfId="1" applyFont="1" applyFill="1" applyBorder="1"/>
    <xf numFmtId="43" fontId="2" fillId="0" borderId="5" xfId="1" applyNumberFormat="1" applyFont="1" applyFill="1" applyBorder="1" applyAlignment="1">
      <alignment vertical="center"/>
    </xf>
    <xf numFmtId="43" fontId="2" fillId="0" borderId="5" xfId="1" applyFont="1" applyFill="1" applyBorder="1" applyAlignment="1">
      <alignment vertical="center"/>
    </xf>
    <xf numFmtId="43" fontId="2" fillId="0" borderId="6" xfId="1" applyFont="1" applyFill="1" applyBorder="1"/>
    <xf numFmtId="43" fontId="2" fillId="0" borderId="6" xfId="1" applyFont="1" applyFill="1" applyBorder="1" applyAlignment="1">
      <alignment vertical="center"/>
    </xf>
    <xf numFmtId="43" fontId="2" fillId="0" borderId="6" xfId="1" applyNumberFormat="1" applyFont="1" applyFill="1" applyBorder="1"/>
    <xf numFmtId="43" fontId="2" fillId="0" borderId="4" xfId="1" applyNumberFormat="1" applyFont="1" applyFill="1" applyBorder="1"/>
    <xf numFmtId="167" fontId="2" fillId="0" borderId="6" xfId="1" applyNumberFormat="1" applyFont="1" applyFill="1" applyBorder="1" applyAlignment="1">
      <alignment horizontal="center" vertical="center"/>
    </xf>
    <xf numFmtId="43" fontId="2" fillId="0" borderId="1" xfId="1" applyNumberFormat="1" applyFont="1" applyFill="1" applyBorder="1"/>
    <xf numFmtId="43" fontId="2" fillId="0" borderId="1" xfId="1" applyFont="1" applyFill="1" applyBorder="1"/>
    <xf numFmtId="43" fontId="2" fillId="0" borderId="1" xfId="1" applyFont="1" applyFill="1" applyBorder="1" applyAlignment="1">
      <alignment vertical="center"/>
    </xf>
    <xf numFmtId="43" fontId="2" fillId="0" borderId="9" xfId="1" applyFont="1" applyFill="1" applyBorder="1" applyAlignment="1"/>
    <xf numFmtId="43" fontId="2" fillId="0" borderId="9" xfId="1" applyFont="1" applyFill="1" applyBorder="1" applyAlignment="1">
      <alignment vertical="center"/>
    </xf>
    <xf numFmtId="43" fontId="2" fillId="0" borderId="18" xfId="1" applyFont="1" applyFill="1" applyBorder="1" applyAlignment="1"/>
    <xf numFmtId="43" fontId="2" fillId="9" borderId="0" xfId="1" applyFont="1" applyFill="1" applyAlignment="1"/>
    <xf numFmtId="43" fontId="2" fillId="6" borderId="0" xfId="1" applyFont="1" applyFill="1" applyAlignment="1"/>
    <xf numFmtId="164" fontId="2" fillId="6" borderId="9" xfId="1" applyNumberFormat="1" applyFont="1" applyFill="1" applyBorder="1"/>
    <xf numFmtId="43" fontId="2" fillId="9" borderId="6" xfId="1" applyFont="1" applyFill="1" applyBorder="1"/>
    <xf numFmtId="43" fontId="2" fillId="9" borderId="1" xfId="1" applyFont="1" applyFill="1" applyBorder="1"/>
    <xf numFmtId="43" fontId="2" fillId="9" borderId="9" xfId="1" applyFont="1" applyFill="1" applyBorder="1" applyAlignment="1"/>
    <xf numFmtId="166" fontId="2" fillId="7" borderId="6" xfId="0" applyNumberFormat="1" applyFont="1" applyFill="1" applyBorder="1"/>
    <xf numFmtId="0" fontId="2" fillId="7" borderId="6" xfId="0" applyFont="1" applyFill="1" applyBorder="1"/>
    <xf numFmtId="0" fontId="2" fillId="7" borderId="1" xfId="0" applyFont="1" applyFill="1" applyBorder="1"/>
    <xf numFmtId="0" fontId="2" fillId="7" borderId="9" xfId="0" applyFont="1" applyFill="1" applyBorder="1" applyAlignment="1"/>
    <xf numFmtId="0" fontId="2" fillId="7" borderId="18" xfId="0" applyFont="1" applyFill="1" applyBorder="1" applyAlignment="1"/>
    <xf numFmtId="0" fontId="2" fillId="11" borderId="0" xfId="0" applyFont="1" applyFill="1" applyAlignment="1"/>
    <xf numFmtId="0" fontId="2" fillId="11" borderId="6" xfId="0" applyFont="1" applyFill="1" applyBorder="1"/>
    <xf numFmtId="0" fontId="2" fillId="11" borderId="1" xfId="0" applyFont="1" applyFill="1" applyBorder="1"/>
    <xf numFmtId="0" fontId="2" fillId="11" borderId="9" xfId="0" applyFont="1" applyFill="1" applyBorder="1"/>
    <xf numFmtId="0" fontId="4" fillId="0" borderId="0" xfId="0" applyFont="1" applyFill="1" applyAlignment="1">
      <alignment horizontal="left" vertical="center"/>
    </xf>
    <xf numFmtId="43" fontId="2" fillId="0" borderId="4" xfId="1" applyNumberFormat="1" applyFont="1" applyFill="1" applyBorder="1" applyAlignment="1">
      <alignment horizontal="center" vertical="center"/>
    </xf>
    <xf numFmtId="43" fontId="2" fillId="9" borderId="10" xfId="1" applyFont="1" applyFill="1" applyBorder="1" applyAlignment="1">
      <alignment horizontal="center" vertical="center"/>
    </xf>
    <xf numFmtId="0" fontId="2" fillId="11" borderId="9" xfId="0" applyFont="1" applyFill="1" applyBorder="1" applyAlignment="1"/>
    <xf numFmtId="0" fontId="7" fillId="14" borderId="15" xfId="0" applyFont="1" applyFill="1" applyBorder="1" applyAlignment="1">
      <alignment horizontal="center" vertical="center"/>
    </xf>
    <xf numFmtId="0" fontId="2" fillId="14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43" fontId="2" fillId="0" borderId="9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165" fontId="2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43" fontId="4" fillId="9" borderId="7" xfId="1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167" fontId="11" fillId="0" borderId="0" xfId="1" applyNumberFormat="1" applyFont="1" applyFill="1" applyAlignment="1">
      <alignment horizontal="center" vertical="center" wrapText="1"/>
    </xf>
    <xf numFmtId="167" fontId="12" fillId="0" borderId="0" xfId="1" applyNumberFormat="1" applyFont="1" applyFill="1" applyAlignment="1">
      <alignment horizontal="center" vertical="center" wrapText="1"/>
    </xf>
    <xf numFmtId="167" fontId="2" fillId="0" borderId="18" xfId="1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167" fontId="4" fillId="9" borderId="9" xfId="1" applyNumberFormat="1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167" fontId="4" fillId="6" borderId="9" xfId="1" applyNumberFormat="1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167" fontId="4" fillId="7" borderId="9" xfId="1" applyNumberFormat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5" borderId="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9" xfId="0" applyFont="1" applyBorder="1" applyAlignment="1"/>
    <xf numFmtId="167" fontId="2" fillId="0" borderId="9" xfId="1" applyNumberFormat="1" applyFont="1" applyFill="1" applyBorder="1" applyAlignment="1"/>
    <xf numFmtId="43" fontId="2" fillId="6" borderId="9" xfId="1" applyFont="1" applyFill="1" applyBorder="1" applyAlignment="1"/>
    <xf numFmtId="0" fontId="2" fillId="0" borderId="9" xfId="0" applyFont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168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15" borderId="0" xfId="0" applyFont="1" applyFill="1" applyAlignment="1"/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67" fontId="2" fillId="2" borderId="0" xfId="1" applyNumberFormat="1" applyFont="1" applyFill="1" applyAlignment="1">
      <alignment horizontal="center" vertical="center"/>
    </xf>
    <xf numFmtId="167" fontId="2" fillId="2" borderId="9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16" borderId="0" xfId="0" applyFont="1" applyFill="1" applyAlignment="1"/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18" borderId="0" xfId="0" applyFont="1" applyFill="1" applyAlignment="1"/>
    <xf numFmtId="0" fontId="2" fillId="18" borderId="0" xfId="0" applyFont="1" applyFill="1" applyBorder="1" applyAlignment="1">
      <alignment horizontal="left" vertical="center"/>
    </xf>
    <xf numFmtId="0" fontId="2" fillId="18" borderId="0" xfId="0" applyFont="1" applyFill="1" applyBorder="1" applyAlignment="1">
      <alignment horizontal="left" vertical="center" wrapText="1"/>
    </xf>
    <xf numFmtId="0" fontId="2" fillId="18" borderId="9" xfId="0" applyFont="1" applyFill="1" applyBorder="1" applyAlignment="1">
      <alignment horizontal="center" vertical="center"/>
    </xf>
    <xf numFmtId="0" fontId="2" fillId="19" borderId="15" xfId="0" applyFont="1" applyFill="1" applyBorder="1" applyAlignment="1">
      <alignment horizontal="center" vertical="center"/>
    </xf>
    <xf numFmtId="0" fontId="2" fillId="20" borderId="15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17" borderId="15" xfId="0" applyFont="1" applyFill="1" applyBorder="1" applyAlignment="1">
      <alignment horizontal="center" vertical="center"/>
    </xf>
    <xf numFmtId="0" fontId="2" fillId="15" borderId="15" xfId="0" applyFont="1" applyFill="1" applyBorder="1" applyAlignment="1">
      <alignment horizontal="center" vertical="center"/>
    </xf>
    <xf numFmtId="0" fontId="2" fillId="11" borderId="15" xfId="0" applyFont="1" applyFill="1" applyBorder="1" applyAlignment="1">
      <alignment horizontal="center" vertical="center"/>
    </xf>
    <xf numFmtId="169" fontId="2" fillId="0" borderId="0" xfId="0" applyNumberFormat="1" applyFont="1" applyAlignment="1"/>
    <xf numFmtId="169" fontId="2" fillId="0" borderId="28" xfId="0" applyNumberFormat="1" applyFont="1" applyBorder="1" applyAlignment="1"/>
    <xf numFmtId="169" fontId="2" fillId="0" borderId="0" xfId="0" applyNumberFormat="1" applyFont="1" applyBorder="1" applyAlignment="1"/>
    <xf numFmtId="0" fontId="2" fillId="5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/>
    </xf>
    <xf numFmtId="0" fontId="26" fillId="6" borderId="9" xfId="0" applyFont="1" applyFill="1" applyBorder="1" applyAlignment="1">
      <alignment horizontal="center" vertical="center" wrapText="1"/>
    </xf>
    <xf numFmtId="0" fontId="26" fillId="6" borderId="1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/>
    </xf>
    <xf numFmtId="0" fontId="2" fillId="15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 wrapText="1"/>
    </xf>
    <xf numFmtId="0" fontId="2" fillId="16" borderId="9" xfId="0" applyFont="1" applyFill="1" applyBorder="1" applyAlignment="1">
      <alignment horizontal="center" vertical="center"/>
    </xf>
    <xf numFmtId="0" fontId="2" fillId="16" borderId="9" xfId="0" applyFont="1" applyFill="1" applyBorder="1" applyAlignment="1">
      <alignment horizontal="center" vertical="center" wrapText="1"/>
    </xf>
    <xf numFmtId="0" fontId="2" fillId="21" borderId="0" xfId="0" applyFont="1" applyFill="1" applyAlignment="1"/>
    <xf numFmtId="0" fontId="29" fillId="21" borderId="0" xfId="0" applyFont="1" applyFill="1" applyAlignment="1"/>
    <xf numFmtId="0" fontId="2" fillId="16" borderId="18" xfId="0" applyFont="1" applyFill="1" applyBorder="1" applyAlignment="1">
      <alignment horizontal="center" vertical="center"/>
    </xf>
    <xf numFmtId="0" fontId="2" fillId="16" borderId="20" xfId="0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43" fontId="22" fillId="13" borderId="15" xfId="1" applyFont="1" applyFill="1" applyBorder="1" applyAlignment="1">
      <alignment horizontal="center" vertical="center" wrapText="1"/>
    </xf>
    <xf numFmtId="164" fontId="2" fillId="6" borderId="15" xfId="1" applyNumberFormat="1" applyFont="1" applyFill="1" applyBorder="1" applyAlignment="1">
      <alignment horizontal="center" vertical="center"/>
    </xf>
    <xf numFmtId="43" fontId="4" fillId="0" borderId="16" xfId="1" applyNumberFormat="1" applyFont="1" applyFill="1" applyBorder="1" applyAlignment="1">
      <alignment horizontal="center" vertical="center" wrapText="1"/>
    </xf>
    <xf numFmtId="43" fontId="2" fillId="0" borderId="8" xfId="1" applyNumberFormat="1" applyFont="1" applyFill="1" applyBorder="1" applyAlignment="1">
      <alignment horizontal="center" vertical="center"/>
    </xf>
    <xf numFmtId="43" fontId="2" fillId="0" borderId="10" xfId="1" applyNumberFormat="1" applyFont="1" applyFill="1" applyBorder="1" applyAlignment="1">
      <alignment horizontal="center" vertical="center"/>
    </xf>
    <xf numFmtId="43" fontId="2" fillId="0" borderId="16" xfId="1" applyNumberFormat="1" applyFont="1" applyFill="1" applyBorder="1" applyAlignment="1">
      <alignment horizontal="center" vertical="center"/>
    </xf>
    <xf numFmtId="43" fontId="2" fillId="0" borderId="16" xfId="1" applyNumberFormat="1" applyFont="1" applyFill="1" applyBorder="1" applyAlignment="1"/>
    <xf numFmtId="43" fontId="2" fillId="0" borderId="0" xfId="1" applyFont="1" applyFill="1" applyBorder="1" applyAlignment="1">
      <alignment horizontal="center" vertical="center"/>
    </xf>
    <xf numFmtId="43" fontId="22" fillId="0" borderId="26" xfId="1" applyFont="1" applyFill="1" applyBorder="1" applyAlignment="1">
      <alignment horizontal="center" vertical="center" wrapText="1"/>
    </xf>
    <xf numFmtId="164" fontId="2" fillId="0" borderId="26" xfId="1" applyNumberFormat="1" applyFont="1" applyFill="1" applyBorder="1" applyAlignment="1">
      <alignment horizontal="center" vertical="center"/>
    </xf>
    <xf numFmtId="43" fontId="2" fillId="0" borderId="19" xfId="1" applyFont="1" applyFill="1" applyBorder="1" applyAlignment="1">
      <alignment horizontal="center" vertical="center"/>
    </xf>
    <xf numFmtId="164" fontId="2" fillId="0" borderId="19" xfId="1" applyNumberFormat="1" applyFont="1" applyFill="1" applyBorder="1" applyAlignment="1">
      <alignment horizontal="center" vertical="center"/>
    </xf>
    <xf numFmtId="0" fontId="2" fillId="18" borderId="18" xfId="0" applyFont="1" applyFill="1" applyBorder="1" applyAlignment="1">
      <alignment horizontal="center" vertical="center"/>
    </xf>
    <xf numFmtId="164" fontId="2" fillId="6" borderId="25" xfId="1" applyNumberFormat="1" applyFont="1" applyFill="1" applyBorder="1" applyAlignment="1">
      <alignment horizontal="center" vertical="center"/>
    </xf>
    <xf numFmtId="43" fontId="2" fillId="0" borderId="36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7" fontId="2" fillId="0" borderId="0" xfId="1" applyNumberFormat="1" applyFont="1" applyFill="1" applyBorder="1" applyAlignment="1">
      <alignment horizontal="center" vertical="center"/>
    </xf>
    <xf numFmtId="43" fontId="2" fillId="0" borderId="0" xfId="1" applyNumberFormat="1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167" fontId="2" fillId="0" borderId="35" xfId="1" applyNumberFormat="1" applyFont="1" applyFill="1" applyBorder="1" applyAlignment="1">
      <alignment horizontal="center" vertical="center"/>
    </xf>
    <xf numFmtId="43" fontId="2" fillId="0" borderId="35" xfId="1" applyFont="1" applyFill="1" applyBorder="1" applyAlignment="1">
      <alignment horizontal="center" vertical="center"/>
    </xf>
    <xf numFmtId="164" fontId="2" fillId="0" borderId="35" xfId="1" applyNumberFormat="1" applyFont="1" applyFill="1" applyBorder="1" applyAlignment="1">
      <alignment horizontal="center" vertical="center"/>
    </xf>
    <xf numFmtId="43" fontId="2" fillId="0" borderId="35" xfId="1" applyNumberFormat="1" applyFont="1" applyFill="1" applyBorder="1" applyAlignment="1">
      <alignment horizontal="center" vertical="center"/>
    </xf>
    <xf numFmtId="43" fontId="32" fillId="0" borderId="19" xfId="1" applyFont="1" applyFill="1" applyBorder="1" applyAlignment="1">
      <alignment horizontal="center" vertical="center" wrapText="1"/>
    </xf>
    <xf numFmtId="43" fontId="22" fillId="0" borderId="0" xfId="1" applyFont="1" applyFill="1" applyBorder="1" applyAlignment="1">
      <alignment horizontal="center" vertical="center"/>
    </xf>
    <xf numFmtId="43" fontId="22" fillId="8" borderId="15" xfId="1" applyFont="1" applyFill="1" applyBorder="1" applyAlignment="1">
      <alignment horizontal="center" vertical="center"/>
    </xf>
    <xf numFmtId="43" fontId="2" fillId="9" borderId="2" xfId="1" applyFont="1" applyFill="1" applyBorder="1" applyAlignment="1">
      <alignment horizontal="center" vertical="center"/>
    </xf>
    <xf numFmtId="43" fontId="2" fillId="9" borderId="11" xfId="1" applyFont="1" applyFill="1" applyBorder="1" applyAlignment="1">
      <alignment horizontal="center" vertical="center"/>
    </xf>
    <xf numFmtId="43" fontId="2" fillId="9" borderId="15" xfId="1" applyFont="1" applyFill="1" applyBorder="1" applyAlignment="1">
      <alignment horizontal="center" vertical="center"/>
    </xf>
    <xf numFmtId="43" fontId="2" fillId="9" borderId="25" xfId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 wrapText="1"/>
    </xf>
    <xf numFmtId="43" fontId="2" fillId="0" borderId="10" xfId="1" applyFont="1" applyFill="1" applyBorder="1" applyAlignment="1">
      <alignment horizontal="center" vertical="center"/>
    </xf>
    <xf numFmtId="43" fontId="2" fillId="0" borderId="16" xfId="1" applyFont="1" applyFill="1" applyBorder="1" applyAlignment="1">
      <alignment horizontal="center" vertical="center"/>
    </xf>
    <xf numFmtId="43" fontId="2" fillId="0" borderId="36" xfId="1" applyFont="1" applyFill="1" applyBorder="1" applyAlignment="1">
      <alignment horizontal="center" vertical="center"/>
    </xf>
    <xf numFmtId="0" fontId="22" fillId="10" borderId="2" xfId="0" applyFont="1" applyFill="1" applyBorder="1" applyAlignment="1">
      <alignment horizontal="center" vertical="center" wrapText="1"/>
    </xf>
    <xf numFmtId="43" fontId="2" fillId="7" borderId="2" xfId="0" applyNumberFormat="1" applyFont="1" applyFill="1" applyBorder="1" applyAlignment="1">
      <alignment horizontal="center" vertical="center"/>
    </xf>
    <xf numFmtId="165" fontId="2" fillId="7" borderId="2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43" fontId="2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168" fontId="2" fillId="11" borderId="6" xfId="0" applyNumberFormat="1" applyFont="1" applyFill="1" applyBorder="1" applyAlignment="1">
      <alignment horizontal="center" vertical="center"/>
    </xf>
    <xf numFmtId="43" fontId="2" fillId="0" borderId="0" xfId="1" applyFont="1" applyFill="1" applyBorder="1" applyAlignment="1"/>
    <xf numFmtId="2" fontId="0" fillId="0" borderId="0" xfId="0" applyNumberFormat="1" applyFont="1" applyAlignment="1"/>
    <xf numFmtId="43" fontId="0" fillId="0" borderId="0" xfId="1" applyFont="1" applyAlignment="1"/>
    <xf numFmtId="165" fontId="0" fillId="0" borderId="0" xfId="1" applyNumberFormat="1" applyFont="1" applyAlignment="1"/>
    <xf numFmtId="165" fontId="0" fillId="0" borderId="0" xfId="0" applyNumberFormat="1" applyFont="1" applyAlignment="1"/>
    <xf numFmtId="170" fontId="0" fillId="0" borderId="0" xfId="1" applyNumberFormat="1" applyFont="1" applyAlignment="1"/>
    <xf numFmtId="170" fontId="0" fillId="0" borderId="0" xfId="0" applyNumberFormat="1" applyFont="1" applyAlignment="1"/>
    <xf numFmtId="0" fontId="0" fillId="0" borderId="0" xfId="0" applyFont="1" applyAlignment="1">
      <alignment horizontal="center"/>
    </xf>
    <xf numFmtId="43" fontId="0" fillId="3" borderId="0" xfId="1" applyFont="1" applyFill="1" applyAlignment="1"/>
    <xf numFmtId="170" fontId="0" fillId="3" borderId="0" xfId="1" applyNumberFormat="1" applyFont="1" applyFill="1" applyAlignment="1"/>
    <xf numFmtId="0" fontId="0" fillId="3" borderId="0" xfId="0" applyFont="1" applyFill="1" applyAlignment="1"/>
    <xf numFmtId="43" fontId="0" fillId="17" borderId="0" xfId="1" applyFont="1" applyFill="1" applyAlignment="1"/>
    <xf numFmtId="170" fontId="0" fillId="17" borderId="0" xfId="1" applyNumberFormat="1" applyFont="1" applyFill="1" applyAlignment="1"/>
    <xf numFmtId="0" fontId="0" fillId="17" borderId="0" xfId="0" applyFont="1" applyFill="1" applyAlignment="1"/>
    <xf numFmtId="43" fontId="0" fillId="22" borderId="0" xfId="1" applyFont="1" applyFill="1" applyAlignment="1"/>
    <xf numFmtId="170" fontId="0" fillId="22" borderId="0" xfId="1" applyNumberFormat="1" applyFont="1" applyFill="1" applyAlignment="1"/>
    <xf numFmtId="0" fontId="0" fillId="22" borderId="0" xfId="0" applyFont="1" applyFill="1" applyAlignment="1"/>
    <xf numFmtId="43" fontId="0" fillId="11" borderId="0" xfId="1" applyFont="1" applyFill="1" applyAlignment="1"/>
    <xf numFmtId="170" fontId="0" fillId="11" borderId="0" xfId="1" applyNumberFormat="1" applyFont="1" applyFill="1" applyAlignment="1"/>
    <xf numFmtId="0" fontId="0" fillId="11" borderId="0" xfId="0" applyFont="1" applyFill="1" applyAlignment="1"/>
    <xf numFmtId="0" fontId="28" fillId="0" borderId="0" xfId="0" applyFont="1" applyAlignment="1"/>
    <xf numFmtId="0" fontId="0" fillId="3" borderId="0" xfId="0" applyFont="1" applyFill="1" applyAlignment="1">
      <alignment horizontal="center"/>
    </xf>
    <xf numFmtId="0" fontId="0" fillId="22" borderId="0" xfId="0" applyFont="1" applyFill="1" applyAlignment="1">
      <alignment horizontal="center"/>
    </xf>
    <xf numFmtId="0" fontId="0" fillId="17" borderId="0" xfId="0" applyFont="1" applyFill="1" applyAlignment="1">
      <alignment horizontal="center"/>
    </xf>
    <xf numFmtId="0" fontId="0" fillId="11" borderId="0" xfId="0" applyFont="1" applyFill="1" applyAlignment="1">
      <alignment horizontal="center"/>
    </xf>
    <xf numFmtId="168" fontId="0" fillId="0" borderId="0" xfId="0" applyNumberFormat="1" applyFont="1" applyAlignment="1"/>
    <xf numFmtId="171" fontId="0" fillId="0" borderId="0" xfId="1" applyNumberFormat="1" applyFont="1" applyAlignment="1"/>
    <xf numFmtId="171" fontId="0" fillId="3" borderId="0" xfId="1" applyNumberFormat="1" applyFont="1" applyFill="1" applyAlignment="1"/>
    <xf numFmtId="171" fontId="0" fillId="22" borderId="0" xfId="1" applyNumberFormat="1" applyFont="1" applyFill="1" applyAlignment="1"/>
    <xf numFmtId="171" fontId="0" fillId="17" borderId="0" xfId="1" applyNumberFormat="1" applyFont="1" applyFill="1" applyAlignment="1"/>
    <xf numFmtId="171" fontId="0" fillId="11" borderId="0" xfId="1" applyNumberFormat="1" applyFont="1" applyFill="1" applyAlignment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43" fontId="28" fillId="0" borderId="0" xfId="1" applyFont="1" applyAlignment="1"/>
    <xf numFmtId="165" fontId="0" fillId="3" borderId="0" xfId="1" applyNumberFormat="1" applyFont="1" applyFill="1" applyAlignment="1"/>
    <xf numFmtId="165" fontId="0" fillId="17" borderId="0" xfId="1" applyNumberFormat="1" applyFont="1" applyFill="1" applyAlignment="1"/>
    <xf numFmtId="165" fontId="0" fillId="11" borderId="0" xfId="1" applyNumberFormat="1" applyFont="1" applyFill="1" applyAlignment="1"/>
    <xf numFmtId="165" fontId="0" fillId="22" borderId="0" xfId="1" applyNumberFormat="1" applyFont="1" applyFill="1" applyAlignment="1"/>
    <xf numFmtId="0" fontId="0" fillId="0" borderId="0" xfId="0" applyFont="1" applyFill="1" applyAlignment="1"/>
    <xf numFmtId="172" fontId="0" fillId="0" borderId="0" xfId="0" applyNumberFormat="1" applyFont="1" applyAlignment="1"/>
    <xf numFmtId="172" fontId="0" fillId="17" borderId="0" xfId="1" applyNumberFormat="1" applyFont="1" applyFill="1" applyAlignment="1"/>
    <xf numFmtId="172" fontId="0" fillId="3" borderId="0" xfId="1" applyNumberFormat="1" applyFont="1" applyFill="1" applyAlignment="1"/>
    <xf numFmtId="172" fontId="0" fillId="22" borderId="0" xfId="1" applyNumberFormat="1" applyFont="1" applyFill="1" applyAlignment="1"/>
    <xf numFmtId="172" fontId="0" fillId="11" borderId="0" xfId="1" applyNumberFormat="1" applyFont="1" applyFill="1" applyAlignment="1"/>
    <xf numFmtId="43" fontId="31" fillId="0" borderId="0" xfId="1" applyFont="1" applyAlignment="1">
      <alignment horizontal="center" vertical="center"/>
    </xf>
    <xf numFmtId="170" fontId="31" fillId="0" borderId="0" xfId="1" applyNumberFormat="1" applyFont="1" applyAlignment="1">
      <alignment horizontal="center" vertical="center"/>
    </xf>
    <xf numFmtId="43" fontId="31" fillId="0" borderId="0" xfId="1" applyFont="1" applyAlignment="1">
      <alignment horizontal="center" vertical="center" wrapText="1"/>
    </xf>
    <xf numFmtId="165" fontId="31" fillId="0" borderId="0" xfId="1" applyNumberFormat="1" applyFont="1" applyAlignment="1">
      <alignment horizontal="center" vertical="center"/>
    </xf>
    <xf numFmtId="172" fontId="31" fillId="0" borderId="0" xfId="1" applyNumberFormat="1" applyFont="1" applyAlignment="1">
      <alignment horizontal="center" vertical="center" wrapText="1"/>
    </xf>
    <xf numFmtId="0" fontId="31" fillId="0" borderId="37" xfId="0" applyFont="1" applyBorder="1" applyAlignment="1">
      <alignment horizontal="center" vertical="center"/>
    </xf>
    <xf numFmtId="0" fontId="0" fillId="0" borderId="37" xfId="0" applyFont="1" applyBorder="1" applyAlignment="1"/>
    <xf numFmtId="171" fontId="31" fillId="0" borderId="0" xfId="1" applyNumberFormat="1" applyFont="1" applyAlignment="1">
      <alignment horizontal="center" vertical="center" wrapText="1"/>
    </xf>
    <xf numFmtId="0" fontId="28" fillId="11" borderId="0" xfId="0" applyFont="1" applyFill="1" applyAlignment="1"/>
    <xf numFmtId="168" fontId="0" fillId="0" borderId="0" xfId="1" applyNumberFormat="1" applyFont="1" applyAlignment="1"/>
    <xf numFmtId="0" fontId="33" fillId="17" borderId="0" xfId="0" applyFont="1" applyFill="1" applyAlignment="1"/>
    <xf numFmtId="165" fontId="33" fillId="17" borderId="0" xfId="1" applyNumberFormat="1" applyFont="1" applyFill="1" applyAlignment="1"/>
    <xf numFmtId="0" fontId="33" fillId="17" borderId="0" xfId="0" applyFont="1" applyFill="1" applyAlignment="1">
      <alignment horizontal="center"/>
    </xf>
    <xf numFmtId="0" fontId="33" fillId="11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23" borderId="0" xfId="0" applyFont="1" applyFill="1" applyAlignment="1">
      <alignment horizontal="center" vertical="center"/>
    </xf>
    <xf numFmtId="165" fontId="2" fillId="0" borderId="0" xfId="1" applyNumberFormat="1" applyFont="1" applyFill="1" applyAlignment="1">
      <alignment horizontal="center" vertical="center"/>
    </xf>
    <xf numFmtId="165" fontId="0" fillId="0" borderId="0" xfId="1" applyNumberFormat="1" applyFont="1" applyAlignment="1">
      <alignment horizontal="center"/>
    </xf>
    <xf numFmtId="0" fontId="8" fillId="6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171" fontId="0" fillId="0" borderId="0" xfId="1" applyNumberFormat="1" applyFont="1" applyAlignment="1">
      <alignment horizontal="center"/>
    </xf>
    <xf numFmtId="171" fontId="28" fillId="0" borderId="0" xfId="1" applyNumberFormat="1" applyFont="1" applyAlignment="1">
      <alignment horizontal="center"/>
    </xf>
    <xf numFmtId="171" fontId="28" fillId="0" borderId="0" xfId="1" applyNumberFormat="1" applyFont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16" borderId="18" xfId="0" applyFont="1" applyFill="1" applyBorder="1" applyAlignment="1">
      <alignment horizontal="center" vertical="center"/>
    </xf>
    <xf numFmtId="0" fontId="2" fillId="16" borderId="20" xfId="0" applyFont="1" applyFill="1" applyBorder="1" applyAlignment="1">
      <alignment horizontal="center" vertical="center"/>
    </xf>
    <xf numFmtId="0" fontId="2" fillId="16" borderId="18" xfId="0" applyFont="1" applyFill="1" applyBorder="1" applyAlignment="1">
      <alignment horizontal="center" vertical="center" wrapText="1"/>
    </xf>
    <xf numFmtId="0" fontId="2" fillId="16" borderId="20" xfId="0" applyFont="1" applyFill="1" applyBorder="1" applyAlignment="1">
      <alignment horizontal="center" vertical="center" wrapText="1"/>
    </xf>
    <xf numFmtId="0" fontId="2" fillId="16" borderId="19" xfId="0" applyFont="1" applyFill="1" applyBorder="1" applyAlignment="1">
      <alignment horizontal="center" vertical="center"/>
    </xf>
    <xf numFmtId="0" fontId="2" fillId="16" borderId="1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16" borderId="9" xfId="0" applyFont="1" applyFill="1" applyBorder="1" applyAlignment="1">
      <alignment horizontal="center" vertical="center"/>
    </xf>
    <xf numFmtId="0" fontId="2" fillId="16" borderId="9" xfId="0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horizontal="center" vertical="center"/>
    </xf>
    <xf numFmtId="0" fontId="2" fillId="11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1" borderId="18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0" fontId="2" fillId="11" borderId="20" xfId="0" applyFont="1" applyFill="1" applyBorder="1" applyAlignment="1">
      <alignment horizontal="center" vertical="center" wrapText="1"/>
    </xf>
    <xf numFmtId="0" fontId="2" fillId="15" borderId="9" xfId="0" applyFont="1" applyFill="1" applyBorder="1" applyAlignment="1">
      <alignment horizontal="center" vertical="center"/>
    </xf>
    <xf numFmtId="0" fontId="2" fillId="15" borderId="9" xfId="0" applyFont="1" applyFill="1" applyBorder="1" applyAlignment="1">
      <alignment horizontal="center" vertical="center" wrapText="1"/>
    </xf>
    <xf numFmtId="0" fontId="2" fillId="15" borderId="18" xfId="0" applyFont="1" applyFill="1" applyBorder="1" applyAlignment="1">
      <alignment horizontal="center" vertical="center"/>
    </xf>
    <xf numFmtId="0" fontId="2" fillId="15" borderId="19" xfId="0" applyFont="1" applyFill="1" applyBorder="1" applyAlignment="1">
      <alignment horizontal="center" vertical="center"/>
    </xf>
    <xf numFmtId="0" fontId="2" fillId="15" borderId="20" xfId="0" applyFont="1" applyFill="1" applyBorder="1" applyAlignment="1">
      <alignment horizontal="center" vertical="center"/>
    </xf>
    <xf numFmtId="0" fontId="2" fillId="15" borderId="18" xfId="0" applyFont="1" applyFill="1" applyBorder="1" applyAlignment="1">
      <alignment horizontal="center" vertical="center" wrapText="1"/>
    </xf>
    <xf numFmtId="0" fontId="2" fillId="15" borderId="19" xfId="0" applyFont="1" applyFill="1" applyBorder="1" applyAlignment="1">
      <alignment horizontal="center" vertical="center" wrapText="1"/>
    </xf>
    <xf numFmtId="0" fontId="2" fillId="15" borderId="20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6" fillId="6" borderId="35" xfId="0" applyFont="1" applyFill="1" applyBorder="1" applyAlignment="1">
      <alignment horizontal="center" vertical="center" wrapText="1"/>
    </xf>
    <xf numFmtId="0" fontId="26" fillId="6" borderId="2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/>
    </xf>
    <xf numFmtId="0" fontId="30" fillId="6" borderId="18" xfId="0" applyFont="1" applyFill="1" applyBorder="1" applyAlignment="1">
      <alignment horizontal="center" vertical="center" wrapText="1"/>
    </xf>
    <xf numFmtId="0" fontId="30" fillId="6" borderId="19" xfId="0" applyFont="1" applyFill="1" applyBorder="1" applyAlignment="1">
      <alignment horizontal="center" vertical="center" wrapText="1"/>
    </xf>
    <xf numFmtId="0" fontId="30" fillId="6" borderId="20" xfId="0" applyFont="1" applyFill="1" applyBorder="1" applyAlignment="1">
      <alignment horizontal="center" vertical="center" wrapText="1"/>
    </xf>
    <xf numFmtId="0" fontId="26" fillId="6" borderId="18" xfId="0" applyFont="1" applyFill="1" applyBorder="1" applyAlignment="1">
      <alignment horizontal="center" vertical="center" wrapText="1"/>
    </xf>
    <xf numFmtId="0" fontId="26" fillId="6" borderId="19" xfId="0" applyFont="1" applyFill="1" applyBorder="1" applyAlignment="1">
      <alignment horizontal="center" vertical="center" wrapText="1"/>
    </xf>
    <xf numFmtId="0" fontId="26" fillId="6" borderId="2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26" fillId="5" borderId="31" xfId="0" applyFont="1" applyFill="1" applyBorder="1" applyAlignment="1">
      <alignment horizontal="center" vertical="center" wrapText="1"/>
    </xf>
    <xf numFmtId="0" fontId="26" fillId="5" borderId="32" xfId="0" applyFont="1" applyFill="1" applyBorder="1" applyAlignment="1">
      <alignment horizontal="center" vertical="center" wrapText="1"/>
    </xf>
    <xf numFmtId="0" fontId="26" fillId="5" borderId="33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 wrapText="1"/>
    </xf>
    <xf numFmtId="0" fontId="25" fillId="7" borderId="18" xfId="0" applyFont="1" applyFill="1" applyBorder="1" applyAlignment="1">
      <alignment horizontal="center" vertical="center" wrapText="1"/>
    </xf>
    <xf numFmtId="0" fontId="25" fillId="7" borderId="20" xfId="0" applyFont="1" applyFill="1" applyBorder="1" applyAlignment="1">
      <alignment horizontal="center" vertical="center" wrapText="1"/>
    </xf>
    <xf numFmtId="0" fontId="26" fillId="7" borderId="18" xfId="0" applyFont="1" applyFill="1" applyBorder="1" applyAlignment="1">
      <alignment horizontal="center" vertical="center" wrapText="1"/>
    </xf>
    <xf numFmtId="0" fontId="26" fillId="7" borderId="19" xfId="0" applyFont="1" applyFill="1" applyBorder="1" applyAlignment="1">
      <alignment horizontal="center" vertical="center" wrapText="1"/>
    </xf>
    <xf numFmtId="0" fontId="26" fillId="7" borderId="2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7" xfId="0" applyFont="1" applyFill="1" applyBorder="1" applyAlignment="1">
      <alignment horizontal="center" vertical="center" wrapText="1"/>
    </xf>
    <xf numFmtId="0" fontId="25" fillId="6" borderId="5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4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7" fontId="10" fillId="0" borderId="0" xfId="1" applyNumberFormat="1" applyFont="1" applyFill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4" fillId="7" borderId="9" xfId="1" applyNumberFormat="1" applyFont="1" applyFill="1" applyBorder="1" applyAlignment="1">
      <alignment horizontal="center" vertical="center"/>
    </xf>
    <xf numFmtId="0" fontId="4" fillId="6" borderId="9" xfId="1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wrapText="1"/>
    </xf>
    <xf numFmtId="171" fontId="0" fillId="0" borderId="0" xfId="1" applyNumberFormat="1" applyFont="1" applyAlignment="1">
      <alignment horizontal="center" wrapText="1"/>
    </xf>
    <xf numFmtId="171" fontId="0" fillId="0" borderId="0" xfId="1" applyNumberFormat="1" applyFont="1" applyAlignment="1">
      <alignment wrapText="1"/>
    </xf>
    <xf numFmtId="0" fontId="28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60"/>
  <sheetViews>
    <sheetView topLeftCell="D5" workbookViewId="0">
      <selection activeCell="H9" sqref="H9:H10"/>
    </sheetView>
  </sheetViews>
  <sheetFormatPr defaultColWidth="12.75" defaultRowHeight="15" x14ac:dyDescent="0.25"/>
  <cols>
    <col min="1" max="2" width="12.75" style="1"/>
    <col min="3" max="3" width="25.25" style="1" customWidth="1"/>
    <col min="4" max="9" width="12.75" style="1"/>
    <col min="10" max="10" width="12.75" style="6"/>
    <col min="11" max="16384" width="12.75" style="1"/>
  </cols>
  <sheetData>
    <row r="2" spans="1:9" x14ac:dyDescent="0.25">
      <c r="B2" s="1" t="s">
        <v>82</v>
      </c>
      <c r="D2" s="1" t="s">
        <v>83</v>
      </c>
    </row>
    <row r="3" spans="1:9" x14ac:dyDescent="0.25">
      <c r="B3" s="1" t="s">
        <v>84</v>
      </c>
      <c r="D3" s="7" t="s">
        <v>89</v>
      </c>
    </row>
    <row r="4" spans="1:9" x14ac:dyDescent="0.25">
      <c r="B4" s="1" t="s">
        <v>85</v>
      </c>
    </row>
    <row r="5" spans="1:9" ht="29.25" customHeight="1" x14ac:dyDescent="0.25">
      <c r="A5" s="8">
        <v>1</v>
      </c>
      <c r="B5" s="370" t="s">
        <v>86</v>
      </c>
      <c r="C5" s="370"/>
      <c r="D5" s="370"/>
      <c r="E5" s="370"/>
      <c r="F5" s="370"/>
      <c r="G5" s="370"/>
      <c r="H5" s="370"/>
      <c r="I5" s="370"/>
    </row>
    <row r="6" spans="1:9" x14ac:dyDescent="0.25">
      <c r="A6" s="8">
        <v>2</v>
      </c>
      <c r="B6" s="371" t="s">
        <v>87</v>
      </c>
      <c r="C6" s="371"/>
      <c r="D6" s="371"/>
      <c r="E6" s="371"/>
      <c r="F6" s="371"/>
      <c r="G6" s="371"/>
      <c r="H6" s="371"/>
      <c r="I6" s="371"/>
    </row>
    <row r="7" spans="1:9" ht="36" customHeight="1" x14ac:dyDescent="0.25">
      <c r="A7" s="8">
        <v>3</v>
      </c>
      <c r="B7" s="370" t="s">
        <v>88</v>
      </c>
      <c r="C7" s="370"/>
      <c r="D7" s="370"/>
      <c r="E7" s="370"/>
      <c r="F7" s="370"/>
      <c r="G7" s="370"/>
      <c r="H7" s="370"/>
      <c r="I7" s="370"/>
    </row>
    <row r="8" spans="1:9" x14ac:dyDescent="0.25">
      <c r="A8" s="8">
        <v>4</v>
      </c>
      <c r="B8" s="371" t="s">
        <v>867</v>
      </c>
      <c r="C8" s="371"/>
      <c r="D8" s="371"/>
      <c r="E8" s="371"/>
      <c r="F8" s="371"/>
      <c r="G8" s="371"/>
      <c r="H8" s="371"/>
      <c r="I8" s="371"/>
    </row>
    <row r="11" spans="1:9" ht="30" customHeight="1" x14ac:dyDescent="0.25">
      <c r="B11" s="370" t="s">
        <v>90</v>
      </c>
      <c r="C11" s="370"/>
      <c r="D11" s="370"/>
      <c r="E11" s="370"/>
      <c r="F11" s="370"/>
      <c r="G11" s="370"/>
      <c r="H11" s="9"/>
    </row>
    <row r="12" spans="1:9" x14ac:dyDescent="0.25">
      <c r="B12" s="1" t="s">
        <v>1037</v>
      </c>
      <c r="H12" s="1">
        <v>710</v>
      </c>
      <c r="I12" s="1" t="s">
        <v>869</v>
      </c>
    </row>
    <row r="13" spans="1:9" x14ac:dyDescent="0.25">
      <c r="B13" s="1" t="s">
        <v>868</v>
      </c>
    </row>
    <row r="14" spans="1:9" x14ac:dyDescent="0.25">
      <c r="B14" s="1" t="s">
        <v>92</v>
      </c>
      <c r="H14" s="233">
        <v>-370</v>
      </c>
      <c r="I14" s="1" t="s">
        <v>869</v>
      </c>
    </row>
    <row r="15" spans="1:9" x14ac:dyDescent="0.25">
      <c r="B15" s="1" t="s">
        <v>93</v>
      </c>
      <c r="H15" s="233">
        <v>-140</v>
      </c>
      <c r="I15" s="1" t="s">
        <v>869</v>
      </c>
    </row>
    <row r="16" spans="1:9" x14ac:dyDescent="0.25">
      <c r="B16" s="369" t="s">
        <v>125</v>
      </c>
      <c r="C16" s="369"/>
      <c r="D16" s="369"/>
      <c r="E16" s="369"/>
      <c r="F16" s="369"/>
      <c r="G16" s="369"/>
      <c r="H16" s="231">
        <v>-14</v>
      </c>
      <c r="I16" s="1" t="s">
        <v>869</v>
      </c>
    </row>
    <row r="17" spans="2:9" x14ac:dyDescent="0.25">
      <c r="B17" s="1" t="s">
        <v>91</v>
      </c>
      <c r="H17" s="232">
        <v>-51</v>
      </c>
      <c r="I17" s="1" t="s">
        <v>869</v>
      </c>
    </row>
    <row r="18" spans="2:9" x14ac:dyDescent="0.25">
      <c r="H18" s="231">
        <f>SUM(H12:H17)</f>
        <v>135</v>
      </c>
      <c r="I18" s="1" t="s">
        <v>869</v>
      </c>
    </row>
    <row r="20" spans="2:9" x14ac:dyDescent="0.25">
      <c r="B20" s="1" t="s">
        <v>94</v>
      </c>
      <c r="F20" s="1" t="s">
        <v>126</v>
      </c>
    </row>
    <row r="21" spans="2:9" x14ac:dyDescent="0.25">
      <c r="B21" s="12" t="s">
        <v>22</v>
      </c>
      <c r="C21" s="12" t="s">
        <v>23</v>
      </c>
      <c r="D21" s="12"/>
      <c r="F21" s="254" t="s">
        <v>127</v>
      </c>
      <c r="G21" s="254" t="s">
        <v>128</v>
      </c>
      <c r="H21" s="254"/>
      <c r="I21" s="254"/>
    </row>
    <row r="22" spans="2:9" ht="15" customHeight="1" x14ac:dyDescent="0.25">
      <c r="B22" s="13" t="s">
        <v>71</v>
      </c>
      <c r="C22" s="13" t="s">
        <v>72</v>
      </c>
      <c r="D22" s="12"/>
      <c r="F22" s="254" t="s">
        <v>129</v>
      </c>
      <c r="G22" s="254" t="s">
        <v>130</v>
      </c>
      <c r="H22" s="254"/>
      <c r="I22" s="254"/>
    </row>
    <row r="23" spans="2:9" x14ac:dyDescent="0.25">
      <c r="B23" s="13" t="s">
        <v>102</v>
      </c>
      <c r="C23" s="14" t="s">
        <v>103</v>
      </c>
      <c r="D23" s="12"/>
      <c r="F23" s="254" t="s">
        <v>140</v>
      </c>
      <c r="G23" s="254" t="s">
        <v>141</v>
      </c>
      <c r="H23" s="254"/>
      <c r="I23" s="254"/>
    </row>
    <row r="24" spans="2:9" x14ac:dyDescent="0.25">
      <c r="B24" s="13" t="s">
        <v>104</v>
      </c>
      <c r="C24" s="14" t="s">
        <v>105</v>
      </c>
      <c r="D24" s="12"/>
      <c r="F24" s="254" t="s">
        <v>152</v>
      </c>
      <c r="G24" s="254" t="s">
        <v>153</v>
      </c>
      <c r="H24" s="254"/>
      <c r="I24" s="254"/>
    </row>
    <row r="25" spans="2:9" x14ac:dyDescent="0.25">
      <c r="B25" s="27" t="s">
        <v>132</v>
      </c>
      <c r="C25" s="27" t="s">
        <v>133</v>
      </c>
      <c r="D25" s="27"/>
      <c r="F25" s="254" t="s">
        <v>246</v>
      </c>
      <c r="G25" s="254" t="s">
        <v>245</v>
      </c>
      <c r="H25" s="254"/>
      <c r="I25" s="254"/>
    </row>
    <row r="26" spans="2:9" x14ac:dyDescent="0.25">
      <c r="B26" s="27" t="s">
        <v>134</v>
      </c>
      <c r="C26" s="27" t="s">
        <v>135</v>
      </c>
      <c r="D26" s="27"/>
      <c r="F26" s="254" t="s">
        <v>593</v>
      </c>
      <c r="G26" s="254" t="s">
        <v>594</v>
      </c>
      <c r="H26" s="254"/>
      <c r="I26" s="254"/>
    </row>
    <row r="27" spans="2:9" x14ac:dyDescent="0.25">
      <c r="B27" s="27" t="s">
        <v>138</v>
      </c>
      <c r="C27" s="27" t="s">
        <v>139</v>
      </c>
      <c r="D27" s="27"/>
      <c r="F27" s="254" t="s">
        <v>753</v>
      </c>
      <c r="G27" s="254" t="s">
        <v>754</v>
      </c>
      <c r="H27" s="254"/>
      <c r="I27" s="254"/>
    </row>
    <row r="28" spans="2:9" x14ac:dyDescent="0.25">
      <c r="B28" s="27" t="s">
        <v>145</v>
      </c>
      <c r="C28" s="27" t="s">
        <v>146</v>
      </c>
      <c r="D28" s="27"/>
      <c r="F28" s="254" t="s">
        <v>855</v>
      </c>
      <c r="G28" s="254" t="s">
        <v>856</v>
      </c>
      <c r="H28" s="254"/>
      <c r="I28" s="254"/>
    </row>
    <row r="29" spans="2:9" x14ac:dyDescent="0.25">
      <c r="B29" s="27" t="s">
        <v>147</v>
      </c>
      <c r="C29" s="27" t="s">
        <v>148</v>
      </c>
      <c r="D29" s="27"/>
      <c r="F29" s="254" t="s">
        <v>870</v>
      </c>
      <c r="G29" s="254" t="s">
        <v>871</v>
      </c>
      <c r="H29" s="254"/>
      <c r="I29" s="254"/>
    </row>
    <row r="30" spans="2:9" x14ac:dyDescent="0.25">
      <c r="B30" s="27" t="s">
        <v>162</v>
      </c>
      <c r="C30" s="27" t="s">
        <v>163</v>
      </c>
      <c r="D30" s="27"/>
      <c r="F30" s="254" t="s">
        <v>874</v>
      </c>
      <c r="G30" s="254" t="s">
        <v>875</v>
      </c>
      <c r="H30" s="254"/>
      <c r="I30" s="254"/>
    </row>
    <row r="31" spans="2:9" x14ac:dyDescent="0.25">
      <c r="B31" s="27" t="s">
        <v>164</v>
      </c>
      <c r="C31" s="27" t="s">
        <v>165</v>
      </c>
      <c r="D31" s="27"/>
      <c r="F31" s="254" t="s">
        <v>877</v>
      </c>
      <c r="G31" s="255" t="s">
        <v>876</v>
      </c>
      <c r="H31" s="254"/>
      <c r="I31" s="254"/>
    </row>
    <row r="32" spans="2:9" x14ac:dyDescent="0.25">
      <c r="B32" s="27" t="s">
        <v>174</v>
      </c>
      <c r="C32" s="27" t="s">
        <v>175</v>
      </c>
      <c r="D32" s="27"/>
      <c r="F32" s="254" t="s">
        <v>878</v>
      </c>
      <c r="G32" s="254" t="s">
        <v>879</v>
      </c>
      <c r="H32" s="254"/>
      <c r="I32" s="254"/>
    </row>
    <row r="33" spans="2:9" x14ac:dyDescent="0.25">
      <c r="B33" s="27" t="s">
        <v>179</v>
      </c>
      <c r="C33" s="27" t="s">
        <v>180</v>
      </c>
      <c r="D33" s="27"/>
      <c r="F33" s="254" t="s">
        <v>880</v>
      </c>
      <c r="G33" s="254" t="s">
        <v>881</v>
      </c>
      <c r="H33" s="254"/>
      <c r="I33" s="254"/>
    </row>
    <row r="34" spans="2:9" x14ac:dyDescent="0.25">
      <c r="B34" s="27" t="s">
        <v>203</v>
      </c>
      <c r="C34" s="27" t="s">
        <v>204</v>
      </c>
      <c r="D34" s="27"/>
      <c r="F34" s="254" t="s">
        <v>882</v>
      </c>
      <c r="G34" s="255" t="s">
        <v>883</v>
      </c>
      <c r="H34" s="254"/>
      <c r="I34" s="254"/>
    </row>
    <row r="35" spans="2:9" x14ac:dyDescent="0.25">
      <c r="B35" s="27" t="s">
        <v>872</v>
      </c>
      <c r="C35" s="27" t="s">
        <v>873</v>
      </c>
      <c r="D35" s="27"/>
    </row>
    <row r="36" spans="2:9" x14ac:dyDescent="0.25">
      <c r="B36" s="27" t="s">
        <v>228</v>
      </c>
      <c r="C36" s="27" t="s">
        <v>229</v>
      </c>
      <c r="D36" s="27"/>
    </row>
    <row r="37" spans="2:9" x14ac:dyDescent="0.25">
      <c r="B37" s="27" t="s">
        <v>230</v>
      </c>
      <c r="C37" s="27" t="s">
        <v>231</v>
      </c>
      <c r="D37" s="27"/>
    </row>
    <row r="38" spans="2:9" x14ac:dyDescent="0.25">
      <c r="B38" s="27" t="s">
        <v>232</v>
      </c>
      <c r="C38" s="27" t="s">
        <v>233</v>
      </c>
      <c r="D38" s="27"/>
    </row>
    <row r="39" spans="2:9" x14ac:dyDescent="0.25">
      <c r="B39" s="58" t="s">
        <v>234</v>
      </c>
      <c r="C39" s="58" t="s">
        <v>235</v>
      </c>
      <c r="D39" s="58"/>
    </row>
    <row r="40" spans="2:9" x14ac:dyDescent="0.25">
      <c r="B40" s="58" t="s">
        <v>243</v>
      </c>
      <c r="C40" s="58" t="s">
        <v>244</v>
      </c>
      <c r="D40" s="58"/>
    </row>
    <row r="41" spans="2:9" x14ac:dyDescent="0.25">
      <c r="B41" s="58" t="s">
        <v>254</v>
      </c>
      <c r="C41" s="58" t="s">
        <v>255</v>
      </c>
      <c r="D41" s="58"/>
    </row>
    <row r="42" spans="2:9" x14ac:dyDescent="0.25">
      <c r="B42" s="58" t="s">
        <v>260</v>
      </c>
      <c r="C42" s="58" t="s">
        <v>261</v>
      </c>
      <c r="D42" s="58"/>
    </row>
    <row r="43" spans="2:9" x14ac:dyDescent="0.25">
      <c r="B43" s="58" t="s">
        <v>262</v>
      </c>
      <c r="C43" s="58" t="s">
        <v>263</v>
      </c>
      <c r="D43" s="58"/>
    </row>
    <row r="44" spans="2:9" x14ac:dyDescent="0.25">
      <c r="B44" s="59" t="s">
        <v>275</v>
      </c>
      <c r="C44" s="60" t="s">
        <v>272</v>
      </c>
      <c r="D44" s="58"/>
    </row>
    <row r="45" spans="2:9" x14ac:dyDescent="0.25">
      <c r="B45" s="58" t="s">
        <v>273</v>
      </c>
      <c r="C45" s="58" t="s">
        <v>274</v>
      </c>
      <c r="D45" s="58"/>
    </row>
    <row r="46" spans="2:9" x14ac:dyDescent="0.25">
      <c r="B46" s="58" t="s">
        <v>286</v>
      </c>
      <c r="C46" s="58" t="s">
        <v>287</v>
      </c>
      <c r="D46" s="58"/>
    </row>
    <row r="47" spans="2:9" x14ac:dyDescent="0.25">
      <c r="B47" s="58" t="s">
        <v>288</v>
      </c>
      <c r="C47" s="58" t="s">
        <v>289</v>
      </c>
      <c r="D47" s="58"/>
    </row>
    <row r="48" spans="2:9" x14ac:dyDescent="0.25">
      <c r="B48" s="58" t="s">
        <v>290</v>
      </c>
      <c r="C48" s="58" t="s">
        <v>291</v>
      </c>
      <c r="D48" s="58"/>
    </row>
    <row r="49" spans="2:4" x14ac:dyDescent="0.25">
      <c r="B49" s="58" t="s">
        <v>295</v>
      </c>
      <c r="C49" s="58" t="s">
        <v>296</v>
      </c>
      <c r="D49" s="58"/>
    </row>
    <row r="50" spans="2:4" x14ac:dyDescent="0.25">
      <c r="B50" s="58" t="s">
        <v>302</v>
      </c>
      <c r="C50" s="58" t="s">
        <v>303</v>
      </c>
      <c r="D50" s="58"/>
    </row>
    <row r="51" spans="2:4" x14ac:dyDescent="0.25">
      <c r="B51" s="58" t="s">
        <v>306</v>
      </c>
      <c r="C51" s="58" t="s">
        <v>307</v>
      </c>
      <c r="D51" s="58"/>
    </row>
    <row r="52" spans="2:4" x14ac:dyDescent="0.25">
      <c r="B52" s="58" t="s">
        <v>308</v>
      </c>
      <c r="C52" s="58" t="s">
        <v>309</v>
      </c>
      <c r="D52" s="58"/>
    </row>
    <row r="53" spans="2:4" x14ac:dyDescent="0.25">
      <c r="B53" s="58" t="s">
        <v>318</v>
      </c>
      <c r="C53" s="58" t="s">
        <v>319</v>
      </c>
      <c r="D53" s="58"/>
    </row>
    <row r="54" spans="2:4" x14ac:dyDescent="0.25">
      <c r="B54" s="58" t="s">
        <v>323</v>
      </c>
      <c r="C54" s="58" t="s">
        <v>324</v>
      </c>
      <c r="D54" s="58"/>
    </row>
    <row r="55" spans="2:4" x14ac:dyDescent="0.25">
      <c r="B55" s="58" t="s">
        <v>333</v>
      </c>
      <c r="C55" s="58" t="s">
        <v>334</v>
      </c>
      <c r="D55" s="58"/>
    </row>
    <row r="56" spans="2:4" x14ac:dyDescent="0.25">
      <c r="B56" s="58" t="s">
        <v>335</v>
      </c>
      <c r="C56" s="58" t="s">
        <v>336</v>
      </c>
      <c r="D56" s="58"/>
    </row>
    <row r="57" spans="2:4" x14ac:dyDescent="0.25">
      <c r="B57" s="61" t="s">
        <v>347</v>
      </c>
      <c r="C57" s="61" t="s">
        <v>348</v>
      </c>
      <c r="D57" s="61"/>
    </row>
    <row r="58" spans="2:4" x14ac:dyDescent="0.25">
      <c r="B58" s="61" t="s">
        <v>352</v>
      </c>
      <c r="C58" s="61" t="s">
        <v>353</v>
      </c>
      <c r="D58" s="61"/>
    </row>
    <row r="59" spans="2:4" x14ac:dyDescent="0.25">
      <c r="B59" s="61" t="s">
        <v>358</v>
      </c>
      <c r="C59" s="61" t="s">
        <v>359</v>
      </c>
      <c r="D59" s="61"/>
    </row>
    <row r="60" spans="2:4" x14ac:dyDescent="0.25">
      <c r="B60" s="61" t="s">
        <v>360</v>
      </c>
      <c r="C60" s="61" t="s">
        <v>361</v>
      </c>
      <c r="D60" s="61"/>
    </row>
    <row r="61" spans="2:4" x14ac:dyDescent="0.25">
      <c r="B61" s="61" t="s">
        <v>364</v>
      </c>
      <c r="C61" s="61" t="s">
        <v>365</v>
      </c>
      <c r="D61" s="61"/>
    </row>
    <row r="62" spans="2:4" x14ac:dyDescent="0.25">
      <c r="B62" s="61" t="s">
        <v>375</v>
      </c>
      <c r="C62" s="61" t="s">
        <v>376</v>
      </c>
      <c r="D62" s="61"/>
    </row>
    <row r="63" spans="2:4" x14ac:dyDescent="0.25">
      <c r="B63" s="61" t="s">
        <v>395</v>
      </c>
      <c r="C63" s="61" t="s">
        <v>396</v>
      </c>
      <c r="D63" s="61"/>
    </row>
    <row r="64" spans="2:4" x14ac:dyDescent="0.25">
      <c r="B64" s="190" t="s">
        <v>400</v>
      </c>
      <c r="C64" s="190" t="s">
        <v>401</v>
      </c>
      <c r="D64" s="190"/>
    </row>
    <row r="65" spans="2:4" x14ac:dyDescent="0.25">
      <c r="B65" s="190" t="s">
        <v>406</v>
      </c>
      <c r="C65" s="190" t="s">
        <v>407</v>
      </c>
      <c r="D65" s="190"/>
    </row>
    <row r="66" spans="2:4" x14ac:dyDescent="0.25">
      <c r="B66" s="190" t="s">
        <v>408</v>
      </c>
      <c r="C66" s="190" t="s">
        <v>409</v>
      </c>
      <c r="D66" s="190"/>
    </row>
    <row r="67" spans="2:4" x14ac:dyDescent="0.25">
      <c r="B67" s="190" t="s">
        <v>410</v>
      </c>
      <c r="C67" s="190" t="s">
        <v>411</v>
      </c>
      <c r="D67" s="190"/>
    </row>
    <row r="68" spans="2:4" x14ac:dyDescent="0.25">
      <c r="B68" s="190" t="s">
        <v>431</v>
      </c>
      <c r="C68" s="190" t="s">
        <v>432</v>
      </c>
      <c r="D68" s="190"/>
    </row>
    <row r="69" spans="2:4" x14ac:dyDescent="0.25">
      <c r="B69" s="190" t="s">
        <v>440</v>
      </c>
      <c r="C69" s="190" t="s">
        <v>441</v>
      </c>
      <c r="D69" s="190"/>
    </row>
    <row r="70" spans="2:4" x14ac:dyDescent="0.25">
      <c r="B70" s="190" t="s">
        <v>442</v>
      </c>
      <c r="C70" s="190" t="s">
        <v>443</v>
      </c>
      <c r="D70" s="190"/>
    </row>
    <row r="71" spans="2:4" x14ac:dyDescent="0.25">
      <c r="B71" s="190" t="s">
        <v>447</v>
      </c>
      <c r="C71" s="190" t="s">
        <v>448</v>
      </c>
      <c r="D71" s="190"/>
    </row>
    <row r="72" spans="2:4" x14ac:dyDescent="0.25">
      <c r="B72" s="190" t="s">
        <v>449</v>
      </c>
      <c r="C72" s="190" t="s">
        <v>450</v>
      </c>
      <c r="D72" s="190"/>
    </row>
    <row r="73" spans="2:4" x14ac:dyDescent="0.25">
      <c r="B73" s="190" t="s">
        <v>463</v>
      </c>
      <c r="C73" s="190" t="s">
        <v>464</v>
      </c>
      <c r="D73" s="190"/>
    </row>
    <row r="74" spans="2:4" x14ac:dyDescent="0.25">
      <c r="B74" s="190" t="s">
        <v>469</v>
      </c>
      <c r="C74" s="190" t="s">
        <v>470</v>
      </c>
      <c r="D74" s="190"/>
    </row>
    <row r="75" spans="2:4" x14ac:dyDescent="0.25">
      <c r="B75" s="190" t="s">
        <v>483</v>
      </c>
      <c r="C75" s="190" t="s">
        <v>484</v>
      </c>
      <c r="D75" s="190"/>
    </row>
    <row r="76" spans="2:4" x14ac:dyDescent="0.25">
      <c r="B76" s="190" t="s">
        <v>485</v>
      </c>
      <c r="C76" s="190" t="s">
        <v>486</v>
      </c>
      <c r="D76" s="190"/>
    </row>
    <row r="77" spans="2:4" x14ac:dyDescent="0.25">
      <c r="B77" s="190" t="s">
        <v>494</v>
      </c>
      <c r="C77" s="190" t="s">
        <v>495</v>
      </c>
      <c r="D77" s="190"/>
    </row>
    <row r="78" spans="2:4" x14ac:dyDescent="0.25">
      <c r="B78" s="190" t="s">
        <v>496</v>
      </c>
      <c r="C78" s="190" t="s">
        <v>497</v>
      </c>
      <c r="D78" s="190"/>
    </row>
    <row r="79" spans="2:4" x14ac:dyDescent="0.25">
      <c r="B79" s="190" t="s">
        <v>498</v>
      </c>
      <c r="C79" s="190" t="s">
        <v>499</v>
      </c>
      <c r="D79" s="190"/>
    </row>
    <row r="80" spans="2:4" x14ac:dyDescent="0.25">
      <c r="B80" s="190" t="s">
        <v>500</v>
      </c>
      <c r="C80" s="190" t="s">
        <v>501</v>
      </c>
      <c r="D80" s="190"/>
    </row>
    <row r="81" spans="2:4" x14ac:dyDescent="0.25">
      <c r="B81" s="190" t="s">
        <v>510</v>
      </c>
      <c r="C81" s="190" t="s">
        <v>511</v>
      </c>
      <c r="D81" s="190"/>
    </row>
    <row r="82" spans="2:4" x14ac:dyDescent="0.25">
      <c r="B82" s="190" t="s">
        <v>512</v>
      </c>
      <c r="C82" s="190" t="s">
        <v>513</v>
      </c>
      <c r="D82" s="190"/>
    </row>
    <row r="83" spans="2:4" x14ac:dyDescent="0.25">
      <c r="B83" s="132" t="s">
        <v>529</v>
      </c>
      <c r="C83" s="132" t="s">
        <v>530</v>
      </c>
      <c r="D83" s="132"/>
    </row>
    <row r="84" spans="2:4" x14ac:dyDescent="0.25">
      <c r="B84" s="132" t="s">
        <v>553</v>
      </c>
      <c r="C84" s="132" t="s">
        <v>554</v>
      </c>
      <c r="D84" s="132"/>
    </row>
    <row r="85" spans="2:4" x14ac:dyDescent="0.25">
      <c r="B85" s="132" t="s">
        <v>555</v>
      </c>
      <c r="C85" s="132" t="s">
        <v>556</v>
      </c>
      <c r="D85" s="132"/>
    </row>
    <row r="86" spans="2:4" x14ac:dyDescent="0.25">
      <c r="B86" s="132" t="s">
        <v>560</v>
      </c>
      <c r="C86" s="132" t="s">
        <v>561</v>
      </c>
      <c r="D86" s="132"/>
    </row>
    <row r="87" spans="2:4" x14ac:dyDescent="0.25">
      <c r="B87" s="132" t="s">
        <v>566</v>
      </c>
      <c r="C87" s="132" t="s">
        <v>567</v>
      </c>
      <c r="D87" s="132"/>
    </row>
    <row r="88" spans="2:4" x14ac:dyDescent="0.25">
      <c r="B88" s="132" t="s">
        <v>572</v>
      </c>
      <c r="C88" s="132" t="s">
        <v>573</v>
      </c>
      <c r="D88" s="132"/>
    </row>
    <row r="89" spans="2:4" x14ac:dyDescent="0.25">
      <c r="B89" s="132" t="s">
        <v>582</v>
      </c>
      <c r="C89" s="132" t="s">
        <v>583</v>
      </c>
      <c r="D89" s="132"/>
    </row>
    <row r="90" spans="2:4" x14ac:dyDescent="0.25">
      <c r="B90" s="132" t="s">
        <v>591</v>
      </c>
      <c r="C90" s="132" t="s">
        <v>592</v>
      </c>
      <c r="D90" s="132"/>
    </row>
    <row r="91" spans="2:4" x14ac:dyDescent="0.25">
      <c r="B91" s="207" t="s">
        <v>601</v>
      </c>
      <c r="C91" s="207" t="s">
        <v>602</v>
      </c>
      <c r="D91" s="207"/>
    </row>
    <row r="92" spans="2:4" x14ac:dyDescent="0.25">
      <c r="B92" s="207" t="s">
        <v>603</v>
      </c>
      <c r="C92" s="207" t="s">
        <v>604</v>
      </c>
      <c r="D92" s="207"/>
    </row>
    <row r="93" spans="2:4" x14ac:dyDescent="0.25">
      <c r="B93" s="207" t="s">
        <v>611</v>
      </c>
      <c r="C93" s="207" t="s">
        <v>612</v>
      </c>
      <c r="D93" s="207"/>
    </row>
    <row r="94" spans="2:4" x14ac:dyDescent="0.25">
      <c r="B94" s="207" t="s">
        <v>613</v>
      </c>
      <c r="C94" s="207" t="s">
        <v>614</v>
      </c>
      <c r="D94" s="207"/>
    </row>
    <row r="95" spans="2:4" x14ac:dyDescent="0.25">
      <c r="B95" s="207" t="s">
        <v>618</v>
      </c>
      <c r="C95" s="207" t="s">
        <v>619</v>
      </c>
      <c r="D95" s="207"/>
    </row>
    <row r="96" spans="2:4" x14ac:dyDescent="0.25">
      <c r="B96" s="207" t="s">
        <v>620</v>
      </c>
      <c r="C96" s="207" t="s">
        <v>621</v>
      </c>
      <c r="D96" s="207"/>
    </row>
    <row r="97" spans="2:4" x14ac:dyDescent="0.25">
      <c r="B97" s="207" t="s">
        <v>626</v>
      </c>
      <c r="C97" s="207" t="s">
        <v>627</v>
      </c>
      <c r="D97" s="207"/>
    </row>
    <row r="98" spans="2:4" x14ac:dyDescent="0.25">
      <c r="B98" s="207" t="s">
        <v>628</v>
      </c>
      <c r="C98" s="207" t="s">
        <v>629</v>
      </c>
      <c r="D98" s="207"/>
    </row>
    <row r="99" spans="2:4" x14ac:dyDescent="0.25">
      <c r="B99" s="207" t="s">
        <v>639</v>
      </c>
      <c r="C99" s="207" t="s">
        <v>640</v>
      </c>
      <c r="D99" s="207"/>
    </row>
    <row r="100" spans="2:4" x14ac:dyDescent="0.25">
      <c r="B100" s="207" t="s">
        <v>641</v>
      </c>
      <c r="C100" s="207" t="s">
        <v>642</v>
      </c>
      <c r="D100" s="207"/>
    </row>
    <row r="101" spans="2:4" x14ac:dyDescent="0.25">
      <c r="B101" s="207" t="s">
        <v>643</v>
      </c>
      <c r="C101" s="207" t="s">
        <v>644</v>
      </c>
      <c r="D101" s="207"/>
    </row>
    <row r="102" spans="2:4" x14ac:dyDescent="0.25">
      <c r="B102" s="207" t="s">
        <v>645</v>
      </c>
      <c r="C102" s="207" t="s">
        <v>646</v>
      </c>
      <c r="D102" s="207"/>
    </row>
    <row r="103" spans="2:4" x14ac:dyDescent="0.25">
      <c r="B103" s="207" t="s">
        <v>647</v>
      </c>
      <c r="C103" s="207" t="s">
        <v>648</v>
      </c>
      <c r="D103" s="207"/>
    </row>
    <row r="104" spans="2:4" x14ac:dyDescent="0.25">
      <c r="B104" s="207" t="s">
        <v>652</v>
      </c>
      <c r="C104" s="207" t="s">
        <v>653</v>
      </c>
      <c r="D104" s="207"/>
    </row>
    <row r="105" spans="2:4" x14ac:dyDescent="0.25">
      <c r="B105" s="207" t="s">
        <v>660</v>
      </c>
      <c r="C105" s="207" t="s">
        <v>661</v>
      </c>
      <c r="D105" s="207"/>
    </row>
    <row r="106" spans="2:4" x14ac:dyDescent="0.25">
      <c r="B106" s="207" t="s">
        <v>669</v>
      </c>
      <c r="C106" s="207" t="s">
        <v>670</v>
      </c>
      <c r="D106" s="207"/>
    </row>
    <row r="107" spans="2:4" x14ac:dyDescent="0.25">
      <c r="B107" s="207" t="s">
        <v>671</v>
      </c>
      <c r="C107" s="207" t="s">
        <v>672</v>
      </c>
      <c r="D107" s="207"/>
    </row>
    <row r="108" spans="2:4" x14ac:dyDescent="0.25">
      <c r="B108" s="207" t="s">
        <v>673</v>
      </c>
      <c r="C108" s="207" t="s">
        <v>674</v>
      </c>
      <c r="D108" s="207"/>
    </row>
    <row r="109" spans="2:4" x14ac:dyDescent="0.25">
      <c r="B109" s="207" t="s">
        <v>679</v>
      </c>
      <c r="C109" s="207" t="s">
        <v>680</v>
      </c>
      <c r="D109" s="207"/>
    </row>
    <row r="110" spans="2:4" x14ac:dyDescent="0.25">
      <c r="B110" s="207" t="s">
        <v>681</v>
      </c>
      <c r="C110" s="207" t="s">
        <v>682</v>
      </c>
      <c r="D110" s="207"/>
    </row>
    <row r="111" spans="2:4" x14ac:dyDescent="0.25">
      <c r="B111" s="207" t="s">
        <v>683</v>
      </c>
      <c r="C111" s="207" t="s">
        <v>684</v>
      </c>
      <c r="D111" s="207"/>
    </row>
    <row r="112" spans="2:4" x14ac:dyDescent="0.25">
      <c r="B112" s="207" t="s">
        <v>685</v>
      </c>
      <c r="C112" s="207" t="s">
        <v>686</v>
      </c>
      <c r="D112" s="207"/>
    </row>
    <row r="113" spans="2:4" x14ac:dyDescent="0.25">
      <c r="B113" s="207" t="s">
        <v>687</v>
      </c>
      <c r="C113" s="207" t="s">
        <v>688</v>
      </c>
      <c r="D113" s="207"/>
    </row>
    <row r="114" spans="2:4" x14ac:dyDescent="0.25">
      <c r="B114" s="207" t="s">
        <v>689</v>
      </c>
      <c r="C114" s="207" t="s">
        <v>690</v>
      </c>
      <c r="D114" s="207"/>
    </row>
    <row r="115" spans="2:4" x14ac:dyDescent="0.25">
      <c r="B115" s="207" t="s">
        <v>694</v>
      </c>
      <c r="C115" s="207" t="s">
        <v>695</v>
      </c>
      <c r="D115" s="207"/>
    </row>
    <row r="116" spans="2:4" x14ac:dyDescent="0.25">
      <c r="B116" s="207" t="s">
        <v>696</v>
      </c>
      <c r="C116" s="207" t="s">
        <v>697</v>
      </c>
      <c r="D116" s="207"/>
    </row>
    <row r="117" spans="2:4" x14ac:dyDescent="0.25">
      <c r="B117" s="207" t="s">
        <v>698</v>
      </c>
      <c r="C117" s="207" t="s">
        <v>699</v>
      </c>
      <c r="D117" s="207"/>
    </row>
    <row r="118" spans="2:4" x14ac:dyDescent="0.25">
      <c r="B118" s="207" t="s">
        <v>700</v>
      </c>
      <c r="C118" s="207" t="s">
        <v>701</v>
      </c>
      <c r="D118" s="207"/>
    </row>
    <row r="119" spans="2:4" x14ac:dyDescent="0.25">
      <c r="B119" s="207" t="s">
        <v>702</v>
      </c>
      <c r="C119" s="207" t="s">
        <v>703</v>
      </c>
      <c r="D119" s="207"/>
    </row>
    <row r="120" spans="2:4" x14ac:dyDescent="0.25">
      <c r="B120" s="207" t="s">
        <v>704</v>
      </c>
      <c r="C120" s="207" t="s">
        <v>705</v>
      </c>
      <c r="D120" s="207"/>
    </row>
    <row r="121" spans="2:4" x14ac:dyDescent="0.25">
      <c r="B121" s="207" t="s">
        <v>706</v>
      </c>
      <c r="C121" s="207" t="s">
        <v>707</v>
      </c>
      <c r="D121" s="207"/>
    </row>
    <row r="122" spans="2:4" x14ac:dyDescent="0.25">
      <c r="B122" s="207" t="s">
        <v>708</v>
      </c>
      <c r="C122" s="207" t="s">
        <v>709</v>
      </c>
      <c r="D122" s="207"/>
    </row>
    <row r="123" spans="2:4" x14ac:dyDescent="0.25">
      <c r="B123" s="207" t="s">
        <v>710</v>
      </c>
      <c r="C123" s="207" t="s">
        <v>711</v>
      </c>
      <c r="D123" s="207"/>
    </row>
    <row r="124" spans="2:4" x14ac:dyDescent="0.25">
      <c r="B124" s="207" t="s">
        <v>712</v>
      </c>
      <c r="C124" s="207" t="s">
        <v>713</v>
      </c>
      <c r="D124" s="207"/>
    </row>
    <row r="125" spans="2:4" x14ac:dyDescent="0.25">
      <c r="B125" s="207" t="s">
        <v>714</v>
      </c>
      <c r="C125" s="207" t="s">
        <v>715</v>
      </c>
      <c r="D125" s="207"/>
    </row>
    <row r="126" spans="2:4" x14ac:dyDescent="0.25">
      <c r="B126" s="221" t="s">
        <v>716</v>
      </c>
      <c r="C126" s="221" t="s">
        <v>717</v>
      </c>
      <c r="D126" s="221"/>
    </row>
    <row r="127" spans="2:4" x14ac:dyDescent="0.25">
      <c r="B127" s="221" t="s">
        <v>721</v>
      </c>
      <c r="C127" s="221" t="s">
        <v>722</v>
      </c>
      <c r="D127" s="221"/>
    </row>
    <row r="128" spans="2:4" x14ac:dyDescent="0.25">
      <c r="B128" s="221" t="s">
        <v>745</v>
      </c>
      <c r="C128" s="221" t="s">
        <v>746</v>
      </c>
      <c r="D128" s="221"/>
    </row>
    <row r="129" spans="2:4" x14ac:dyDescent="0.25">
      <c r="B129" s="221" t="s">
        <v>747</v>
      </c>
      <c r="C129" s="221" t="s">
        <v>748</v>
      </c>
      <c r="D129" s="221"/>
    </row>
    <row r="130" spans="2:4" x14ac:dyDescent="0.25">
      <c r="B130" s="221" t="s">
        <v>749</v>
      </c>
      <c r="C130" s="221" t="s">
        <v>750</v>
      </c>
      <c r="D130" s="221"/>
    </row>
    <row r="131" spans="2:4" x14ac:dyDescent="0.25">
      <c r="B131" s="221" t="s">
        <v>751</v>
      </c>
      <c r="C131" s="221" t="s">
        <v>752</v>
      </c>
      <c r="D131" s="221"/>
    </row>
    <row r="132" spans="2:4" x14ac:dyDescent="0.25">
      <c r="B132" s="221" t="s">
        <v>755</v>
      </c>
      <c r="C132" s="221" t="s">
        <v>756</v>
      </c>
      <c r="D132" s="221"/>
    </row>
    <row r="133" spans="2:4" x14ac:dyDescent="0.25">
      <c r="B133" s="221" t="s">
        <v>764</v>
      </c>
      <c r="C133" s="221" t="s">
        <v>765</v>
      </c>
      <c r="D133" s="221"/>
    </row>
    <row r="134" spans="2:4" x14ac:dyDescent="0.25">
      <c r="B134" s="221" t="s">
        <v>766</v>
      </c>
      <c r="C134" s="221" t="s">
        <v>767</v>
      </c>
      <c r="D134" s="221"/>
    </row>
    <row r="135" spans="2:4" x14ac:dyDescent="0.25">
      <c r="B135" s="221" t="s">
        <v>768</v>
      </c>
      <c r="C135" s="221" t="s">
        <v>769</v>
      </c>
      <c r="D135" s="221"/>
    </row>
    <row r="136" spans="2:4" x14ac:dyDescent="0.25">
      <c r="B136" s="221" t="s">
        <v>777</v>
      </c>
      <c r="C136" s="221" t="s">
        <v>778</v>
      </c>
      <c r="D136" s="221"/>
    </row>
    <row r="137" spans="2:4" x14ac:dyDescent="0.25">
      <c r="B137" s="222" t="s">
        <v>779</v>
      </c>
      <c r="C137" s="223" t="s">
        <v>780</v>
      </c>
      <c r="D137" s="221"/>
    </row>
    <row r="138" spans="2:4" x14ac:dyDescent="0.25">
      <c r="B138" s="221" t="s">
        <v>781</v>
      </c>
      <c r="C138" s="223" t="s">
        <v>780</v>
      </c>
      <c r="D138" s="221"/>
    </row>
    <row r="139" spans="2:4" x14ac:dyDescent="0.25">
      <c r="B139" s="221" t="s">
        <v>782</v>
      </c>
      <c r="C139" s="221" t="s">
        <v>783</v>
      </c>
      <c r="D139" s="221"/>
    </row>
    <row r="140" spans="2:4" x14ac:dyDescent="0.25">
      <c r="B140" s="221" t="s">
        <v>784</v>
      </c>
      <c r="C140" s="221" t="s">
        <v>785</v>
      </c>
      <c r="D140" s="221"/>
    </row>
    <row r="141" spans="2:4" x14ac:dyDescent="0.25">
      <c r="B141" s="221" t="s">
        <v>792</v>
      </c>
      <c r="C141" s="221" t="s">
        <v>793</v>
      </c>
      <c r="D141" s="221"/>
    </row>
    <row r="142" spans="2:4" x14ac:dyDescent="0.25">
      <c r="B142" s="221" t="s">
        <v>798</v>
      </c>
      <c r="C142" s="221" t="s">
        <v>799</v>
      </c>
      <c r="D142" s="221"/>
    </row>
    <row r="143" spans="2:4" x14ac:dyDescent="0.25">
      <c r="B143" s="221" t="s">
        <v>804</v>
      </c>
      <c r="C143" s="221" t="s">
        <v>805</v>
      </c>
      <c r="D143" s="221"/>
    </row>
    <row r="144" spans="2:4" x14ac:dyDescent="0.25">
      <c r="B144" s="221" t="s">
        <v>806</v>
      </c>
      <c r="C144" s="221" t="s">
        <v>807</v>
      </c>
      <c r="D144" s="221"/>
    </row>
    <row r="145" spans="2:4" x14ac:dyDescent="0.25">
      <c r="B145" s="221" t="s">
        <v>808</v>
      </c>
      <c r="C145" s="221" t="s">
        <v>809</v>
      </c>
      <c r="D145" s="221"/>
    </row>
    <row r="146" spans="2:4" x14ac:dyDescent="0.25">
      <c r="B146" s="221" t="s">
        <v>810</v>
      </c>
      <c r="C146" s="221" t="s">
        <v>811</v>
      </c>
      <c r="D146" s="221"/>
    </row>
    <row r="147" spans="2:4" x14ac:dyDescent="0.25">
      <c r="B147" s="221" t="s">
        <v>812</v>
      </c>
      <c r="C147" s="221" t="s">
        <v>813</v>
      </c>
      <c r="D147" s="221"/>
    </row>
    <row r="148" spans="2:4" x14ac:dyDescent="0.25">
      <c r="B148" s="221" t="s">
        <v>821</v>
      </c>
      <c r="C148" s="221" t="s">
        <v>822</v>
      </c>
      <c r="D148" s="221"/>
    </row>
    <row r="149" spans="2:4" x14ac:dyDescent="0.25">
      <c r="B149" s="221" t="s">
        <v>823</v>
      </c>
      <c r="C149" s="221" t="s">
        <v>824</v>
      </c>
      <c r="D149" s="221"/>
    </row>
    <row r="150" spans="2:4" x14ac:dyDescent="0.25">
      <c r="B150" s="221" t="s">
        <v>825</v>
      </c>
      <c r="C150" s="221" t="s">
        <v>826</v>
      </c>
      <c r="D150" s="221"/>
    </row>
    <row r="151" spans="2:4" x14ac:dyDescent="0.25">
      <c r="B151" s="221" t="s">
        <v>827</v>
      </c>
      <c r="C151" s="221" t="s">
        <v>828</v>
      </c>
      <c r="D151" s="221"/>
    </row>
    <row r="152" spans="2:4" x14ac:dyDescent="0.25">
      <c r="B152" s="221" t="s">
        <v>829</v>
      </c>
      <c r="C152" s="221" t="s">
        <v>830</v>
      </c>
      <c r="D152" s="221"/>
    </row>
    <row r="153" spans="2:4" x14ac:dyDescent="0.25">
      <c r="B153" s="221" t="s">
        <v>831</v>
      </c>
      <c r="C153" s="221" t="s">
        <v>832</v>
      </c>
      <c r="D153" s="221"/>
    </row>
    <row r="154" spans="2:4" x14ac:dyDescent="0.25">
      <c r="B154" s="221" t="s">
        <v>833</v>
      </c>
      <c r="C154" s="221" t="s">
        <v>834</v>
      </c>
      <c r="D154" s="221"/>
    </row>
    <row r="155" spans="2:4" x14ac:dyDescent="0.25">
      <c r="B155" s="221" t="s">
        <v>835</v>
      </c>
      <c r="C155" s="221" t="s">
        <v>836</v>
      </c>
      <c r="D155" s="221"/>
    </row>
    <row r="156" spans="2:4" x14ac:dyDescent="0.25">
      <c r="B156" s="221" t="s">
        <v>837</v>
      </c>
      <c r="C156" s="221" t="s">
        <v>838</v>
      </c>
      <c r="D156" s="221"/>
    </row>
    <row r="157" spans="2:4" x14ac:dyDescent="0.25">
      <c r="B157" s="221" t="s">
        <v>839</v>
      </c>
      <c r="C157" s="221" t="s">
        <v>840</v>
      </c>
      <c r="D157" s="221"/>
    </row>
    <row r="158" spans="2:4" x14ac:dyDescent="0.25">
      <c r="B158" s="221" t="s">
        <v>853</v>
      </c>
      <c r="C158" s="221" t="s">
        <v>854</v>
      </c>
      <c r="D158" s="221"/>
    </row>
    <row r="159" spans="2:4" x14ac:dyDescent="0.25">
      <c r="B159" s="221" t="s">
        <v>862</v>
      </c>
      <c r="C159" s="221" t="s">
        <v>863</v>
      </c>
      <c r="D159" s="221"/>
    </row>
    <row r="160" spans="2:4" x14ac:dyDescent="0.25">
      <c r="B160" s="221" t="s">
        <v>865</v>
      </c>
      <c r="C160" s="221" t="s">
        <v>866</v>
      </c>
      <c r="D160" s="221"/>
    </row>
  </sheetData>
  <mergeCells count="6">
    <mergeCell ref="B16:G16"/>
    <mergeCell ref="B5:I5"/>
    <mergeCell ref="B6:I6"/>
    <mergeCell ref="B7:I7"/>
    <mergeCell ref="B8:I8"/>
    <mergeCell ref="B11:G11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6"/>
  <sheetViews>
    <sheetView topLeftCell="A53" workbookViewId="0">
      <selection activeCell="A75" sqref="A75"/>
    </sheetView>
  </sheetViews>
  <sheetFormatPr defaultRowHeight="14.25" x14ac:dyDescent="0.2"/>
  <cols>
    <col min="1" max="5" width="9" style="307"/>
    <col min="6" max="6" width="10.625" style="363" bestFit="1" customWidth="1"/>
    <col min="7" max="7" width="10.625" style="307" bestFit="1" customWidth="1"/>
    <col min="8" max="16384" width="9" style="307"/>
  </cols>
  <sheetData>
    <row r="1" spans="1:7" ht="14.25" customHeight="1" x14ac:dyDescent="0.2">
      <c r="A1" s="307" t="s">
        <v>15</v>
      </c>
      <c r="B1" s="307">
        <v>2017</v>
      </c>
      <c r="C1" s="307">
        <v>1</v>
      </c>
      <c r="D1" s="307">
        <v>1</v>
      </c>
      <c r="E1" s="307">
        <v>1</v>
      </c>
      <c r="F1" s="363">
        <v>0.22549604592301004</v>
      </c>
      <c r="G1" s="363">
        <v>0.31765234362371342</v>
      </c>
    </row>
    <row r="2" spans="1:7" ht="14.25" customHeight="1" x14ac:dyDescent="0.2">
      <c r="A2" s="307" t="s">
        <v>15</v>
      </c>
      <c r="B2" s="307">
        <v>2018</v>
      </c>
      <c r="C2" s="307">
        <v>1</v>
      </c>
      <c r="D2" s="307">
        <v>1</v>
      </c>
      <c r="E2" s="307">
        <v>0</v>
      </c>
      <c r="F2" s="363">
        <v>0.10278117807278161</v>
      </c>
      <c r="G2" s="363">
        <v>0.49422404262645669</v>
      </c>
    </row>
    <row r="3" spans="1:7" ht="14.25" customHeight="1" x14ac:dyDescent="0.2">
      <c r="A3" s="307" t="s">
        <v>15</v>
      </c>
      <c r="B3" s="307">
        <v>2019</v>
      </c>
      <c r="C3" s="307">
        <v>1</v>
      </c>
      <c r="D3" s="307">
        <v>1</v>
      </c>
      <c r="E3" s="307">
        <v>1</v>
      </c>
      <c r="F3" s="363">
        <v>-8.5496641836072598E-2</v>
      </c>
      <c r="G3" s="363">
        <v>0.35309899222225583</v>
      </c>
    </row>
    <row r="4" spans="1:7" ht="14.25" customHeight="1" x14ac:dyDescent="0.2">
      <c r="A4" s="307" t="s">
        <v>718</v>
      </c>
      <c r="B4" s="307">
        <v>2017</v>
      </c>
      <c r="C4" s="307">
        <v>0</v>
      </c>
      <c r="D4" s="307">
        <v>1</v>
      </c>
      <c r="E4" s="307">
        <v>1</v>
      </c>
      <c r="F4" s="363">
        <v>0.13327413257221316</v>
      </c>
      <c r="G4" s="363">
        <v>1.0896535050610114</v>
      </c>
    </row>
    <row r="5" spans="1:7" ht="14.25" customHeight="1" x14ac:dyDescent="0.2">
      <c r="A5" s="307" t="s">
        <v>718</v>
      </c>
      <c r="B5" s="307">
        <v>2018</v>
      </c>
      <c r="C5" s="307">
        <v>0</v>
      </c>
      <c r="D5" s="307">
        <v>1</v>
      </c>
      <c r="E5" s="307">
        <v>0</v>
      </c>
      <c r="F5" s="363">
        <v>0.19597348055399094</v>
      </c>
      <c r="G5" s="363">
        <v>0.42687054888606041</v>
      </c>
    </row>
    <row r="6" spans="1:7" ht="14.25" customHeight="1" x14ac:dyDescent="0.2">
      <c r="A6" s="307" t="s">
        <v>718</v>
      </c>
      <c r="B6" s="307">
        <v>2019</v>
      </c>
      <c r="C6" s="307">
        <v>0</v>
      </c>
      <c r="D6" s="307">
        <v>1</v>
      </c>
      <c r="E6" s="307">
        <v>1</v>
      </c>
      <c r="F6" s="363">
        <v>-0.26006970022200748</v>
      </c>
      <c r="G6" s="363">
        <v>1.4545163621293908</v>
      </c>
    </row>
    <row r="7" spans="1:7" ht="14.25" customHeight="1" x14ac:dyDescent="0.2">
      <c r="A7" s="307" t="s">
        <v>598</v>
      </c>
      <c r="B7" s="307">
        <v>2017</v>
      </c>
      <c r="C7" s="307">
        <v>0</v>
      </c>
      <c r="D7" s="307">
        <v>1</v>
      </c>
      <c r="E7" s="307">
        <v>1</v>
      </c>
      <c r="F7" s="363">
        <v>0.68728295732111777</v>
      </c>
      <c r="G7" s="363">
        <v>2.7549035241588263E-2</v>
      </c>
    </row>
    <row r="8" spans="1:7" ht="14.25" customHeight="1" x14ac:dyDescent="0.2">
      <c r="A8" s="307" t="s">
        <v>598</v>
      </c>
      <c r="B8" s="307">
        <v>2018</v>
      </c>
      <c r="C8" s="307">
        <v>0</v>
      </c>
      <c r="D8" s="307">
        <v>1</v>
      </c>
      <c r="E8" s="307">
        <v>0</v>
      </c>
      <c r="F8" s="363">
        <v>0.23069360344553613</v>
      </c>
      <c r="G8" s="363">
        <v>7.5349717176836418E-4</v>
      </c>
    </row>
    <row r="9" spans="1:7" ht="14.25" customHeight="1" x14ac:dyDescent="0.2">
      <c r="A9" s="307" t="s">
        <v>598</v>
      </c>
      <c r="B9" s="307">
        <v>2019</v>
      </c>
      <c r="C9" s="307">
        <v>0</v>
      </c>
      <c r="D9" s="307">
        <v>1</v>
      </c>
      <c r="E9" s="307">
        <v>1</v>
      </c>
      <c r="F9" s="363">
        <v>5.9559562515300798E-2</v>
      </c>
      <c r="G9" s="363">
        <v>1.0942008369027657E-3</v>
      </c>
    </row>
    <row r="10" spans="1:7" ht="14.25" customHeight="1" x14ac:dyDescent="0.2">
      <c r="A10" s="307" t="s">
        <v>340</v>
      </c>
      <c r="B10" s="307">
        <v>2017</v>
      </c>
      <c r="C10" s="307">
        <v>0</v>
      </c>
      <c r="D10" s="307">
        <v>1</v>
      </c>
      <c r="E10" s="307">
        <v>1</v>
      </c>
      <c r="F10" s="363">
        <v>0.29281877050934052</v>
      </c>
      <c r="G10" s="363">
        <v>0.5545398701065376</v>
      </c>
    </row>
    <row r="11" spans="1:7" ht="14.25" customHeight="1" x14ac:dyDescent="0.2">
      <c r="A11" s="307" t="s">
        <v>340</v>
      </c>
      <c r="B11" s="307">
        <v>2018</v>
      </c>
      <c r="C11" s="307">
        <v>0</v>
      </c>
      <c r="D11" s="307">
        <v>1</v>
      </c>
      <c r="E11" s="307">
        <v>1</v>
      </c>
      <c r="F11" s="363">
        <v>0.18714396651730394</v>
      </c>
      <c r="G11" s="363">
        <v>0.49618269472032817</v>
      </c>
    </row>
    <row r="12" spans="1:7" ht="14.25" customHeight="1" x14ac:dyDescent="0.2">
      <c r="A12" s="307" t="s">
        <v>340</v>
      </c>
      <c r="B12" s="307">
        <v>2019</v>
      </c>
      <c r="C12" s="307">
        <v>0</v>
      </c>
      <c r="D12" s="307">
        <v>1</v>
      </c>
      <c r="E12" s="307">
        <v>1</v>
      </c>
      <c r="F12" s="363">
        <v>-7.7787334676545056E-2</v>
      </c>
      <c r="G12" s="363">
        <v>0.4656980775387155</v>
      </c>
    </row>
    <row r="13" spans="1:7" ht="14.25" customHeight="1" x14ac:dyDescent="0.2">
      <c r="A13" s="307" t="s">
        <v>723</v>
      </c>
      <c r="B13" s="307">
        <v>2017</v>
      </c>
      <c r="C13" s="307">
        <v>1</v>
      </c>
      <c r="D13" s="307">
        <v>1</v>
      </c>
      <c r="E13" s="307">
        <v>1</v>
      </c>
      <c r="F13" s="363">
        <v>0.2021578489456734</v>
      </c>
      <c r="G13" s="363">
        <v>0.51807717661655306</v>
      </c>
    </row>
    <row r="14" spans="1:7" ht="14.25" customHeight="1" x14ac:dyDescent="0.2">
      <c r="A14" s="307" t="s">
        <v>723</v>
      </c>
      <c r="B14" s="307">
        <v>2018</v>
      </c>
      <c r="C14" s="307">
        <v>1</v>
      </c>
      <c r="D14" s="307">
        <v>1</v>
      </c>
      <c r="E14" s="307">
        <v>1</v>
      </c>
      <c r="F14" s="363">
        <v>0.28763271683785674</v>
      </c>
      <c r="G14" s="363">
        <v>0.64139529427256359</v>
      </c>
    </row>
    <row r="15" spans="1:7" ht="14.25" customHeight="1" x14ac:dyDescent="0.2">
      <c r="A15" s="307" t="s">
        <v>723</v>
      </c>
      <c r="B15" s="307">
        <v>2019</v>
      </c>
      <c r="C15" s="307">
        <v>1</v>
      </c>
      <c r="D15" s="307">
        <v>1</v>
      </c>
      <c r="E15" s="307">
        <v>1</v>
      </c>
      <c r="F15" s="363">
        <v>-7.8371634504635218E-2</v>
      </c>
      <c r="G15" s="363">
        <v>0.64678419590020797</v>
      </c>
    </row>
    <row r="16" spans="1:7" ht="14.25" customHeight="1" x14ac:dyDescent="0.2">
      <c r="A16" s="307" t="s">
        <v>402</v>
      </c>
      <c r="B16" s="307">
        <v>2017</v>
      </c>
      <c r="C16" s="307">
        <v>0</v>
      </c>
      <c r="D16" s="307">
        <v>1</v>
      </c>
      <c r="E16" s="307">
        <v>0</v>
      </c>
      <c r="F16" s="363">
        <v>4.3424474533944671E-2</v>
      </c>
      <c r="G16" s="363">
        <v>0.95132805988457125</v>
      </c>
    </row>
    <row r="17" spans="1:7" ht="14.25" customHeight="1" x14ac:dyDescent="0.2">
      <c r="A17" s="307" t="s">
        <v>402</v>
      </c>
      <c r="B17" s="307">
        <v>2018</v>
      </c>
      <c r="C17" s="307">
        <v>0</v>
      </c>
      <c r="D17" s="307">
        <v>1</v>
      </c>
      <c r="E17" s="307">
        <v>0</v>
      </c>
      <c r="F17" s="363">
        <v>0.1434639691120804</v>
      </c>
      <c r="G17" s="363">
        <v>6.5109084406294704</v>
      </c>
    </row>
    <row r="18" spans="1:7" ht="14.25" customHeight="1" x14ac:dyDescent="0.2">
      <c r="A18" s="307" t="s">
        <v>402</v>
      </c>
      <c r="B18" s="307">
        <v>2019</v>
      </c>
      <c r="C18" s="307">
        <v>0</v>
      </c>
      <c r="D18" s="307">
        <v>1</v>
      </c>
      <c r="E18" s="307">
        <v>0</v>
      </c>
      <c r="F18" s="363">
        <v>-3.4543540308899182E-2</v>
      </c>
      <c r="G18" s="363">
        <v>-0.20451144784343531</v>
      </c>
    </row>
    <row r="19" spans="1:7" ht="14.25" customHeight="1" x14ac:dyDescent="0.2">
      <c r="A19" s="307" t="s">
        <v>727</v>
      </c>
      <c r="B19" s="307">
        <v>2017</v>
      </c>
      <c r="C19" s="307">
        <v>1</v>
      </c>
      <c r="D19" s="307">
        <v>1</v>
      </c>
      <c r="E19" s="307">
        <v>1</v>
      </c>
      <c r="F19" s="363">
        <v>9.5493283411626523E-2</v>
      </c>
      <c r="G19" s="363">
        <v>0.51235636253022221</v>
      </c>
    </row>
    <row r="20" spans="1:7" ht="14.25" customHeight="1" x14ac:dyDescent="0.2">
      <c r="A20" s="307" t="s">
        <v>727</v>
      </c>
      <c r="B20" s="307">
        <v>2018</v>
      </c>
      <c r="C20" s="307">
        <v>1</v>
      </c>
      <c r="D20" s="307">
        <v>1</v>
      </c>
      <c r="E20" s="307">
        <v>1</v>
      </c>
      <c r="F20" s="363">
        <v>8.7080622253646114E-2</v>
      </c>
      <c r="G20" s="363">
        <v>0.21923215754021019</v>
      </c>
    </row>
    <row r="21" spans="1:7" ht="14.25" customHeight="1" x14ac:dyDescent="0.2">
      <c r="A21" s="307" t="s">
        <v>727</v>
      </c>
      <c r="B21" s="307">
        <v>2019</v>
      </c>
      <c r="C21" s="307">
        <v>1</v>
      </c>
      <c r="D21" s="307">
        <v>1</v>
      </c>
      <c r="E21" s="307">
        <v>1</v>
      </c>
      <c r="F21" s="363">
        <v>9.1708023842027156E-2</v>
      </c>
      <c r="G21" s="363">
        <v>0.16563541596453121</v>
      </c>
    </row>
    <row r="22" spans="1:7" ht="14.25" customHeight="1" x14ac:dyDescent="0.2">
      <c r="A22" s="307" t="s">
        <v>345</v>
      </c>
      <c r="B22" s="307">
        <v>2017</v>
      </c>
      <c r="C22" s="307">
        <v>1</v>
      </c>
      <c r="D22" s="307">
        <v>0</v>
      </c>
      <c r="E22" s="307">
        <v>0</v>
      </c>
      <c r="F22" s="363">
        <v>0.38955160046803994</v>
      </c>
      <c r="G22" s="363">
        <v>0.43123125651374922</v>
      </c>
    </row>
    <row r="23" spans="1:7" ht="14.25" customHeight="1" x14ac:dyDescent="0.2">
      <c r="A23" s="307" t="s">
        <v>345</v>
      </c>
      <c r="B23" s="307">
        <v>2018</v>
      </c>
      <c r="C23" s="307">
        <v>1</v>
      </c>
      <c r="D23" s="307">
        <v>0</v>
      </c>
      <c r="E23" s="307">
        <v>0</v>
      </c>
      <c r="F23" s="363">
        <v>0.99747167672096859</v>
      </c>
      <c r="G23" s="363">
        <v>0.27387302380928413</v>
      </c>
    </row>
    <row r="24" spans="1:7" ht="14.25" customHeight="1" x14ac:dyDescent="0.2">
      <c r="A24" s="307" t="s">
        <v>345</v>
      </c>
      <c r="B24" s="307">
        <v>2019</v>
      </c>
      <c r="C24" s="307">
        <v>1</v>
      </c>
      <c r="D24" s="307">
        <v>0</v>
      </c>
      <c r="E24" s="307">
        <v>0</v>
      </c>
      <c r="F24" s="363">
        <v>0.29448958628670469</v>
      </c>
      <c r="G24" s="363">
        <v>1.0690368123572471</v>
      </c>
    </row>
    <row r="25" spans="1:7" ht="14.25" customHeight="1" x14ac:dyDescent="0.2">
      <c r="A25" s="307" t="s">
        <v>605</v>
      </c>
      <c r="B25" s="307">
        <v>2017</v>
      </c>
      <c r="C25" s="307">
        <v>1</v>
      </c>
      <c r="D25" s="307">
        <v>1</v>
      </c>
      <c r="E25" s="307">
        <v>1</v>
      </c>
      <c r="F25" s="363">
        <v>0.17248089510035206</v>
      </c>
      <c r="G25" s="363">
        <v>0.13580667797136081</v>
      </c>
    </row>
    <row r="26" spans="1:7" ht="14.25" customHeight="1" x14ac:dyDescent="0.2">
      <c r="A26" s="307" t="s">
        <v>605</v>
      </c>
      <c r="B26" s="307">
        <v>2018</v>
      </c>
      <c r="C26" s="307">
        <v>1</v>
      </c>
      <c r="D26" s="307">
        <v>1</v>
      </c>
      <c r="E26" s="307">
        <v>1</v>
      </c>
      <c r="F26" s="363">
        <v>-0.28506328824556632</v>
      </c>
      <c r="G26" s="363">
        <v>0.75317873235569488</v>
      </c>
    </row>
    <row r="27" spans="1:7" ht="14.25" customHeight="1" x14ac:dyDescent="0.2">
      <c r="A27" s="307" t="s">
        <v>605</v>
      </c>
      <c r="B27" s="307">
        <v>2019</v>
      </c>
      <c r="C27" s="307">
        <v>1</v>
      </c>
      <c r="D27" s="307">
        <v>1</v>
      </c>
      <c r="E27" s="307">
        <v>1</v>
      </c>
      <c r="F27" s="363">
        <v>-0.24682611670777874</v>
      </c>
      <c r="G27" s="363">
        <v>1.430103900242635</v>
      </c>
    </row>
    <row r="28" spans="1:7" ht="14.25" customHeight="1" x14ac:dyDescent="0.2">
      <c r="A28" s="307" t="s">
        <v>514</v>
      </c>
      <c r="B28" s="307">
        <v>2017</v>
      </c>
      <c r="C28" s="307">
        <v>1</v>
      </c>
      <c r="D28" s="307">
        <v>1</v>
      </c>
      <c r="E28" s="307">
        <v>1</v>
      </c>
      <c r="F28" s="363">
        <v>1.5144847952360032</v>
      </c>
      <c r="G28" s="363">
        <v>4.5088231207447545E-2</v>
      </c>
    </row>
    <row r="29" spans="1:7" ht="14.25" customHeight="1" x14ac:dyDescent="0.2">
      <c r="A29" s="307" t="s">
        <v>514</v>
      </c>
      <c r="B29" s="307">
        <v>2018</v>
      </c>
      <c r="C29" s="307">
        <v>1</v>
      </c>
      <c r="D29" s="307">
        <v>1</v>
      </c>
      <c r="E29" s="307">
        <v>1</v>
      </c>
      <c r="F29" s="363">
        <v>0.16086810930955997</v>
      </c>
      <c r="G29" s="363">
        <v>6.3420508910912972E-3</v>
      </c>
    </row>
    <row r="30" spans="1:7" ht="14.25" customHeight="1" x14ac:dyDescent="0.2">
      <c r="A30" s="307" t="s">
        <v>514</v>
      </c>
      <c r="B30" s="307">
        <v>2019</v>
      </c>
      <c r="C30" s="307">
        <v>1</v>
      </c>
      <c r="D30" s="307">
        <v>1</v>
      </c>
      <c r="E30" s="307">
        <v>1</v>
      </c>
      <c r="F30" s="363">
        <v>-8.5240693129324217E-3</v>
      </c>
      <c r="G30" s="363">
        <v>7.4752723460504121E-3</v>
      </c>
    </row>
    <row r="31" spans="1:7" ht="14.25" customHeight="1" x14ac:dyDescent="0.2">
      <c r="A31" s="307" t="s">
        <v>608</v>
      </c>
      <c r="B31" s="307">
        <v>2017</v>
      </c>
      <c r="C31" s="307">
        <v>0</v>
      </c>
      <c r="D31" s="307">
        <v>1</v>
      </c>
      <c r="E31" s="307">
        <v>1</v>
      </c>
      <c r="F31" s="363">
        <v>0.44239911688260536</v>
      </c>
      <c r="G31" s="363">
        <v>0.12339598191436334</v>
      </c>
    </row>
    <row r="32" spans="1:7" ht="14.25" customHeight="1" x14ac:dyDescent="0.2">
      <c r="A32" s="307" t="s">
        <v>608</v>
      </c>
      <c r="B32" s="307">
        <v>2018</v>
      </c>
      <c r="C32" s="307">
        <v>0</v>
      </c>
      <c r="D32" s="307">
        <v>1</v>
      </c>
      <c r="E32" s="307">
        <v>1</v>
      </c>
      <c r="F32" s="363">
        <v>1.4845410284975567E-2</v>
      </c>
      <c r="G32" s="363">
        <v>0.14981978066367441</v>
      </c>
    </row>
    <row r="33" spans="1:7" ht="14.25" customHeight="1" x14ac:dyDescent="0.2">
      <c r="A33" s="307" t="s">
        <v>608</v>
      </c>
      <c r="B33" s="307">
        <v>2019</v>
      </c>
      <c r="C33" s="307">
        <v>0</v>
      </c>
      <c r="D33" s="307">
        <v>1</v>
      </c>
      <c r="E33" s="307">
        <v>1</v>
      </c>
      <c r="F33" s="363">
        <v>-0.12567258902249509</v>
      </c>
      <c r="G33" s="363">
        <v>0.14370095115522522</v>
      </c>
    </row>
    <row r="34" spans="1:7" ht="14.25" customHeight="1" x14ac:dyDescent="0.2">
      <c r="A34" s="307" t="s">
        <v>731</v>
      </c>
      <c r="B34" s="307">
        <v>2017</v>
      </c>
      <c r="C34" s="307">
        <v>0</v>
      </c>
      <c r="D34" s="307">
        <v>1</v>
      </c>
      <c r="E34" s="307">
        <v>1</v>
      </c>
      <c r="F34" s="363">
        <v>6.6346197692659994E-2</v>
      </c>
      <c r="G34" s="363">
        <v>0.48043457080072099</v>
      </c>
    </row>
    <row r="35" spans="1:7" ht="14.25" customHeight="1" x14ac:dyDescent="0.2">
      <c r="A35" s="307" t="s">
        <v>731</v>
      </c>
      <c r="B35" s="307">
        <v>2018</v>
      </c>
      <c r="C35" s="307">
        <v>0</v>
      </c>
      <c r="D35" s="307">
        <v>1</v>
      </c>
      <c r="E35" s="307">
        <v>1</v>
      </c>
      <c r="F35" s="363">
        <v>0.18277217828251421</v>
      </c>
      <c r="G35" s="363">
        <v>0.62833426009635107</v>
      </c>
    </row>
    <row r="36" spans="1:7" ht="14.25" customHeight="1" x14ac:dyDescent="0.2">
      <c r="A36" s="307" t="s">
        <v>731</v>
      </c>
      <c r="B36" s="307">
        <v>2019</v>
      </c>
      <c r="C36" s="307">
        <v>0</v>
      </c>
      <c r="D36" s="307">
        <v>1</v>
      </c>
      <c r="E36" s="307">
        <v>1</v>
      </c>
      <c r="F36" s="363">
        <v>2.184597322883804E-2</v>
      </c>
      <c r="G36" s="363">
        <v>0.79941445613652429</v>
      </c>
    </row>
    <row r="37" spans="1:7" ht="14.25" customHeight="1" x14ac:dyDescent="0.2">
      <c r="A37" s="307" t="s">
        <v>518</v>
      </c>
      <c r="B37" s="307">
        <v>2017</v>
      </c>
      <c r="C37" s="307">
        <v>1</v>
      </c>
      <c r="D37" s="307">
        <v>1</v>
      </c>
      <c r="E37" s="307">
        <v>1</v>
      </c>
      <c r="F37" s="363">
        <v>5.8014969625279939E-2</v>
      </c>
      <c r="G37" s="363">
        <v>0.40704080142035237</v>
      </c>
    </row>
    <row r="38" spans="1:7" ht="14.25" customHeight="1" x14ac:dyDescent="0.2">
      <c r="A38" s="307" t="s">
        <v>518</v>
      </c>
      <c r="B38" s="307">
        <v>2018</v>
      </c>
      <c r="C38" s="307">
        <v>1</v>
      </c>
      <c r="D38" s="307">
        <v>1</v>
      </c>
      <c r="E38" s="307">
        <v>1</v>
      </c>
      <c r="F38" s="363">
        <v>0.13332421146584794</v>
      </c>
      <c r="G38" s="363">
        <v>0.32162360732761275</v>
      </c>
    </row>
    <row r="39" spans="1:7" ht="14.25" customHeight="1" x14ac:dyDescent="0.2">
      <c r="A39" s="307" t="s">
        <v>518</v>
      </c>
      <c r="B39" s="307">
        <v>2019</v>
      </c>
      <c r="C39" s="307">
        <v>1</v>
      </c>
      <c r="D39" s="307">
        <v>1</v>
      </c>
      <c r="E39" s="307">
        <v>1</v>
      </c>
      <c r="F39" s="363">
        <v>5.7561739318658482E-3</v>
      </c>
      <c r="G39" s="363">
        <v>0.19974675360626079</v>
      </c>
    </row>
    <row r="40" spans="1:7" ht="14.25" customHeight="1" x14ac:dyDescent="0.2">
      <c r="A40" s="307" t="s">
        <v>522</v>
      </c>
      <c r="B40" s="307">
        <v>2017</v>
      </c>
      <c r="C40" s="307">
        <v>1</v>
      </c>
      <c r="D40" s="307">
        <v>1</v>
      </c>
      <c r="E40" s="307">
        <v>1</v>
      </c>
      <c r="F40" s="363">
        <v>-2.5271290137628289E-2</v>
      </c>
      <c r="G40" s="363">
        <v>0.2767098419211596</v>
      </c>
    </row>
    <row r="41" spans="1:7" ht="14.25" customHeight="1" x14ac:dyDescent="0.2">
      <c r="A41" s="307" t="s">
        <v>522</v>
      </c>
      <c r="B41" s="307">
        <v>2018</v>
      </c>
      <c r="C41" s="307">
        <v>1</v>
      </c>
      <c r="D41" s="307">
        <v>1</v>
      </c>
      <c r="E41" s="307">
        <v>1</v>
      </c>
      <c r="F41" s="363">
        <v>1.8634495240131606E-2</v>
      </c>
      <c r="G41" s="363">
        <v>0.36641261145455112</v>
      </c>
    </row>
    <row r="42" spans="1:7" ht="14.25" customHeight="1" x14ac:dyDescent="0.2">
      <c r="A42" s="307" t="s">
        <v>522</v>
      </c>
      <c r="B42" s="307">
        <v>2019</v>
      </c>
      <c r="C42" s="307">
        <v>1</v>
      </c>
      <c r="D42" s="307">
        <v>1</v>
      </c>
      <c r="E42" s="307">
        <v>1</v>
      </c>
      <c r="F42" s="363">
        <v>-6.1876577126092E-2</v>
      </c>
      <c r="G42" s="363">
        <v>0.71064278236935419</v>
      </c>
    </row>
    <row r="43" spans="1:7" ht="14.25" customHeight="1" x14ac:dyDescent="0.2">
      <c r="A43" s="307" t="s">
        <v>241</v>
      </c>
      <c r="B43" s="307">
        <v>2017</v>
      </c>
      <c r="C43" s="307">
        <v>0</v>
      </c>
      <c r="D43" s="307">
        <v>1</v>
      </c>
      <c r="E43" s="307">
        <v>0</v>
      </c>
      <c r="F43" s="363">
        <v>-7.0311648571656421E-2</v>
      </c>
      <c r="G43" s="363">
        <v>1.4012057423194836E-2</v>
      </c>
    </row>
    <row r="44" spans="1:7" ht="14.25" customHeight="1" x14ac:dyDescent="0.2">
      <c r="A44" s="307" t="s">
        <v>241</v>
      </c>
      <c r="B44" s="307">
        <v>2018</v>
      </c>
      <c r="C44" s="307">
        <v>0</v>
      </c>
      <c r="D44" s="307">
        <v>1</v>
      </c>
      <c r="E44" s="307">
        <v>0</v>
      </c>
      <c r="F44" s="363">
        <v>-6.167846525028154E-2</v>
      </c>
      <c r="G44" s="363">
        <v>-3.4234555303839981E-2</v>
      </c>
    </row>
    <row r="45" spans="1:7" ht="14.25" customHeight="1" x14ac:dyDescent="0.2">
      <c r="A45" s="307" t="s">
        <v>241</v>
      </c>
      <c r="B45" s="307">
        <v>2019</v>
      </c>
      <c r="C45" s="307">
        <v>0</v>
      </c>
      <c r="D45" s="307">
        <v>1</v>
      </c>
      <c r="E45" s="307">
        <v>0</v>
      </c>
      <c r="F45" s="363">
        <v>-0.19398311904999704</v>
      </c>
      <c r="G45" s="363">
        <v>-3.7685110093985383E-2</v>
      </c>
    </row>
    <row r="46" spans="1:7" ht="14.25" customHeight="1" x14ac:dyDescent="0.2">
      <c r="A46" s="307" t="s">
        <v>735</v>
      </c>
      <c r="B46" s="307">
        <v>2017</v>
      </c>
      <c r="C46" s="307">
        <v>1</v>
      </c>
      <c r="D46" s="307">
        <v>1</v>
      </c>
      <c r="E46" s="307">
        <v>1</v>
      </c>
      <c r="F46" s="363">
        <v>5.3181020626971526E-2</v>
      </c>
      <c r="G46" s="363">
        <v>0.65164825866437048</v>
      </c>
    </row>
    <row r="47" spans="1:7" ht="14.25" customHeight="1" x14ac:dyDescent="0.2">
      <c r="A47" s="307" t="s">
        <v>735</v>
      </c>
      <c r="B47" s="307">
        <v>2018</v>
      </c>
      <c r="C47" s="307">
        <v>1</v>
      </c>
      <c r="D47" s="307">
        <v>1</v>
      </c>
      <c r="E47" s="307">
        <v>1</v>
      </c>
      <c r="F47" s="363">
        <v>8.4356355533163591E-2</v>
      </c>
      <c r="G47" s="363">
        <v>0.51083700544707822</v>
      </c>
    </row>
    <row r="48" spans="1:7" ht="14.25" customHeight="1" x14ac:dyDescent="0.2">
      <c r="A48" s="307" t="s">
        <v>735</v>
      </c>
      <c r="B48" s="307">
        <v>2019</v>
      </c>
      <c r="C48" s="307">
        <v>1</v>
      </c>
      <c r="D48" s="307">
        <v>1</v>
      </c>
      <c r="E48" s="307">
        <v>1</v>
      </c>
      <c r="F48" s="363">
        <v>8.4309219209130939E-2</v>
      </c>
      <c r="G48" s="363">
        <v>0.25740875046249412</v>
      </c>
    </row>
    <row r="49" spans="1:7" ht="14.25" customHeight="1" x14ac:dyDescent="0.2">
      <c r="A49" s="307" t="s">
        <v>24</v>
      </c>
      <c r="B49" s="307">
        <v>2017</v>
      </c>
      <c r="C49" s="307">
        <v>0</v>
      </c>
      <c r="D49" s="307">
        <v>1</v>
      </c>
      <c r="E49" s="307">
        <v>1</v>
      </c>
      <c r="F49" s="363">
        <v>0.24740359347522434</v>
      </c>
      <c r="G49" s="363">
        <v>0.25527112059584317</v>
      </c>
    </row>
    <row r="50" spans="1:7" ht="14.25" customHeight="1" x14ac:dyDescent="0.2">
      <c r="A50" s="307" t="s">
        <v>24</v>
      </c>
      <c r="B50" s="307">
        <v>2018</v>
      </c>
      <c r="C50" s="307">
        <v>0</v>
      </c>
      <c r="D50" s="307">
        <v>1</v>
      </c>
      <c r="E50" s="307">
        <v>1</v>
      </c>
      <c r="F50" s="363">
        <v>-1.9337399200966113E-2</v>
      </c>
      <c r="G50" s="363">
        <v>0.24848120372147126</v>
      </c>
    </row>
    <row r="51" spans="1:7" ht="14.25" customHeight="1" x14ac:dyDescent="0.2">
      <c r="A51" s="307" t="s">
        <v>24</v>
      </c>
      <c r="B51" s="307">
        <v>2019</v>
      </c>
      <c r="C51" s="307">
        <v>0</v>
      </c>
      <c r="D51" s="307">
        <v>1</v>
      </c>
      <c r="E51" s="307">
        <v>1</v>
      </c>
      <c r="F51" s="363">
        <v>2.9991856515780482E-3</v>
      </c>
      <c r="G51" s="363">
        <v>0.32503069636905807</v>
      </c>
    </row>
    <row r="52" spans="1:7" ht="14.25" customHeight="1" x14ac:dyDescent="0.2">
      <c r="A52" s="307" t="s">
        <v>236</v>
      </c>
      <c r="B52" s="307">
        <v>2017</v>
      </c>
      <c r="C52" s="307">
        <v>1</v>
      </c>
      <c r="D52" s="307">
        <v>1</v>
      </c>
      <c r="E52" s="307">
        <v>0</v>
      </c>
      <c r="F52" s="363">
        <v>0.24854734221172015</v>
      </c>
      <c r="G52" s="363">
        <v>-2.7391544111592718E-2</v>
      </c>
    </row>
    <row r="53" spans="1:7" ht="14.25" customHeight="1" x14ac:dyDescent="0.2">
      <c r="A53" s="307" t="s">
        <v>236</v>
      </c>
      <c r="B53" s="307">
        <v>2018</v>
      </c>
      <c r="C53" s="307">
        <v>1</v>
      </c>
      <c r="D53" s="307">
        <v>1</v>
      </c>
      <c r="E53" s="307">
        <v>0</v>
      </c>
      <c r="F53" s="363">
        <v>5.5396095109228161E-2</v>
      </c>
      <c r="G53" s="363">
        <v>3.2824978846464681E-2</v>
      </c>
    </row>
    <row r="54" spans="1:7" ht="14.25" customHeight="1" x14ac:dyDescent="0.2">
      <c r="A54" s="307" t="s">
        <v>236</v>
      </c>
      <c r="B54" s="307">
        <v>2019</v>
      </c>
      <c r="C54" s="307">
        <v>1</v>
      </c>
      <c r="D54" s="307">
        <v>1</v>
      </c>
      <c r="E54" s="307">
        <v>1</v>
      </c>
      <c r="F54" s="363">
        <v>-0.20248554020821483</v>
      </c>
      <c r="G54" s="363">
        <v>-0.20175996643752944</v>
      </c>
    </row>
    <row r="55" spans="1:7" ht="14.25" customHeight="1" x14ac:dyDescent="0.2">
      <c r="A55" s="307" t="s">
        <v>739</v>
      </c>
      <c r="B55" s="307">
        <v>2017</v>
      </c>
      <c r="C55" s="307">
        <v>0</v>
      </c>
      <c r="D55" s="307">
        <v>1</v>
      </c>
      <c r="E55" s="307">
        <v>0</v>
      </c>
      <c r="F55" s="363">
        <v>0.16599849269467296</v>
      </c>
      <c r="G55" s="363">
        <v>-5.2356415557857083E-2</v>
      </c>
    </row>
    <row r="56" spans="1:7" ht="14.25" customHeight="1" x14ac:dyDescent="0.2">
      <c r="A56" s="307" t="s">
        <v>739</v>
      </c>
      <c r="B56" s="307">
        <v>2018</v>
      </c>
      <c r="C56" s="307">
        <v>0</v>
      </c>
      <c r="D56" s="307">
        <v>1</v>
      </c>
      <c r="E56" s="307">
        <v>1</v>
      </c>
      <c r="F56" s="363">
        <v>0.23025386972204068</v>
      </c>
      <c r="G56" s="363">
        <v>8.4771195155243284E-2</v>
      </c>
    </row>
    <row r="57" spans="1:7" ht="14.25" customHeight="1" x14ac:dyDescent="0.2">
      <c r="A57" s="307" t="s">
        <v>739</v>
      </c>
      <c r="B57" s="307">
        <v>2019</v>
      </c>
      <c r="C57" s="307">
        <v>0</v>
      </c>
      <c r="D57" s="307">
        <v>1</v>
      </c>
      <c r="E57" s="307">
        <v>0</v>
      </c>
      <c r="F57" s="363">
        <v>-9.9920144956759216E-2</v>
      </c>
      <c r="G57" s="363">
        <v>0.17787719212509576</v>
      </c>
    </row>
    <row r="58" spans="1:7" ht="14.25" customHeight="1" x14ac:dyDescent="0.2">
      <c r="A58" s="307" t="s">
        <v>743</v>
      </c>
      <c r="B58" s="307">
        <v>2017</v>
      </c>
      <c r="C58" s="307">
        <v>1</v>
      </c>
      <c r="D58" s="307">
        <v>1</v>
      </c>
      <c r="E58" s="307">
        <v>1</v>
      </c>
      <c r="F58" s="363">
        <v>3.5355802364536219E-2</v>
      </c>
      <c r="G58" s="363">
        <v>0.34095136937587023</v>
      </c>
    </row>
    <row r="59" spans="1:7" ht="14.25" customHeight="1" x14ac:dyDescent="0.2">
      <c r="A59" s="307" t="s">
        <v>743</v>
      </c>
      <c r="B59" s="307">
        <v>2018</v>
      </c>
      <c r="C59" s="307">
        <v>1</v>
      </c>
      <c r="D59" s="307">
        <v>1</v>
      </c>
      <c r="E59" s="307">
        <v>1</v>
      </c>
      <c r="F59" s="363">
        <v>7.994551893217107E-2</v>
      </c>
      <c r="G59" s="363">
        <v>0.88101881145021388</v>
      </c>
    </row>
    <row r="60" spans="1:7" ht="14.25" customHeight="1" x14ac:dyDescent="0.2">
      <c r="A60" s="307" t="s">
        <v>743</v>
      </c>
      <c r="B60" s="307">
        <v>2019</v>
      </c>
      <c r="C60" s="307">
        <v>1</v>
      </c>
      <c r="D60" s="307">
        <v>1</v>
      </c>
      <c r="E60" s="307">
        <v>1</v>
      </c>
      <c r="F60" s="363">
        <v>0.10613630393829408</v>
      </c>
      <c r="G60" s="363">
        <v>0.54236196327458219</v>
      </c>
    </row>
    <row r="61" spans="1:7" ht="14.25" customHeight="1" x14ac:dyDescent="0.2">
      <c r="A61" s="307" t="s">
        <v>526</v>
      </c>
      <c r="B61" s="307">
        <v>2017</v>
      </c>
      <c r="C61" s="307">
        <v>0</v>
      </c>
      <c r="D61" s="307">
        <v>1</v>
      </c>
      <c r="E61" s="307">
        <v>0</v>
      </c>
      <c r="F61" s="363">
        <v>6.3657158714620771E-2</v>
      </c>
      <c r="G61" s="363">
        <v>0.29888585188872208</v>
      </c>
    </row>
    <row r="62" spans="1:7" ht="14.25" customHeight="1" x14ac:dyDescent="0.2">
      <c r="A62" s="307" t="s">
        <v>526</v>
      </c>
      <c r="B62" s="307">
        <v>2018</v>
      </c>
      <c r="C62" s="307">
        <v>0</v>
      </c>
      <c r="D62" s="307">
        <v>1</v>
      </c>
      <c r="E62" s="307">
        <v>0</v>
      </c>
      <c r="F62" s="363">
        <v>0.16875211506486942</v>
      </c>
      <c r="G62" s="363">
        <v>0.3438845743894472</v>
      </c>
    </row>
    <row r="63" spans="1:7" ht="14.25" customHeight="1" x14ac:dyDescent="0.2">
      <c r="A63" s="307" t="s">
        <v>526</v>
      </c>
      <c r="B63" s="307">
        <v>2019</v>
      </c>
      <c r="C63" s="307">
        <v>0</v>
      </c>
      <c r="D63" s="307">
        <v>1</v>
      </c>
      <c r="E63" s="307">
        <v>0</v>
      </c>
      <c r="F63" s="363">
        <v>-0.10313727900454785</v>
      </c>
      <c r="G63" s="363">
        <v>0.34463663096131408</v>
      </c>
    </row>
    <row r="64" spans="1:7" ht="14.25" customHeight="1" x14ac:dyDescent="0.2">
      <c r="A64" s="307" t="s">
        <v>412</v>
      </c>
      <c r="B64" s="307">
        <v>2017</v>
      </c>
      <c r="C64" s="307">
        <v>0</v>
      </c>
      <c r="D64" s="307">
        <v>1</v>
      </c>
      <c r="E64" s="307">
        <v>0</v>
      </c>
      <c r="F64" s="363">
        <v>0.25255710680642302</v>
      </c>
      <c r="G64" s="363">
        <v>0.42629552365829104</v>
      </c>
    </row>
    <row r="65" spans="1:7" ht="14.25" customHeight="1" x14ac:dyDescent="0.2">
      <c r="A65" s="307" t="s">
        <v>412</v>
      </c>
      <c r="B65" s="307">
        <v>2018</v>
      </c>
      <c r="C65" s="307">
        <v>0</v>
      </c>
      <c r="D65" s="307">
        <v>1</v>
      </c>
      <c r="E65" s="307">
        <v>0</v>
      </c>
      <c r="F65" s="363">
        <v>0.33990511690974029</v>
      </c>
      <c r="G65" s="363">
        <v>0.55816581067947324</v>
      </c>
    </row>
    <row r="66" spans="1:7" ht="14.25" customHeight="1" x14ac:dyDescent="0.2">
      <c r="A66" s="307" t="s">
        <v>412</v>
      </c>
      <c r="B66" s="307">
        <v>2019</v>
      </c>
      <c r="C66" s="307">
        <v>0</v>
      </c>
      <c r="D66" s="307">
        <v>1</v>
      </c>
      <c r="E66" s="307">
        <v>0</v>
      </c>
      <c r="F66" s="363">
        <v>-0.24573499529421428</v>
      </c>
      <c r="G66" s="363">
        <v>0.55615916492270545</v>
      </c>
    </row>
    <row r="67" spans="1:7" ht="14.25" customHeight="1" x14ac:dyDescent="0.2">
      <c r="A67" s="358" t="s">
        <v>615</v>
      </c>
      <c r="B67" s="307">
        <v>2017</v>
      </c>
      <c r="C67" s="307">
        <v>1</v>
      </c>
      <c r="D67" s="307">
        <v>1</v>
      </c>
      <c r="E67" s="307">
        <v>1</v>
      </c>
      <c r="F67" s="363">
        <v>0.56707758183714796</v>
      </c>
      <c r="G67" s="363">
        <v>6.2834628640544926E-2</v>
      </c>
    </row>
    <row r="68" spans="1:7" ht="14.25" customHeight="1" x14ac:dyDescent="0.2">
      <c r="A68" s="358" t="s">
        <v>615</v>
      </c>
      <c r="B68" s="307">
        <v>2018</v>
      </c>
      <c r="C68" s="307">
        <v>1</v>
      </c>
      <c r="D68" s="307">
        <v>1</v>
      </c>
      <c r="E68" s="307">
        <v>1</v>
      </c>
      <c r="F68" s="363">
        <v>-0.35937350661872414</v>
      </c>
      <c r="G68" s="363">
        <v>0.14586246123790303</v>
      </c>
    </row>
    <row r="69" spans="1:7" ht="14.25" customHeight="1" x14ac:dyDescent="0.2">
      <c r="A69" s="358" t="s">
        <v>615</v>
      </c>
      <c r="B69" s="307">
        <v>2019</v>
      </c>
      <c r="C69" s="307">
        <v>1</v>
      </c>
      <c r="D69" s="307">
        <v>1</v>
      </c>
      <c r="E69" s="307">
        <v>1</v>
      </c>
      <c r="F69" s="363">
        <v>6.8803264436339232E-2</v>
      </c>
      <c r="G69" s="363">
        <v>7.0144385089421002E-2</v>
      </c>
    </row>
    <row r="70" spans="1:7" ht="14.25" customHeight="1" x14ac:dyDescent="0.2">
      <c r="A70" s="307" t="s">
        <v>247</v>
      </c>
      <c r="B70" s="307">
        <v>2017</v>
      </c>
      <c r="C70" s="307">
        <v>1</v>
      </c>
      <c r="D70" s="307">
        <v>1</v>
      </c>
      <c r="E70" s="307">
        <v>1</v>
      </c>
      <c r="F70" s="363">
        <v>-0.9542397023342345</v>
      </c>
      <c r="G70" s="363">
        <v>-1.7508339900388418E-2</v>
      </c>
    </row>
    <row r="71" spans="1:7" ht="14.25" customHeight="1" x14ac:dyDescent="0.2">
      <c r="A71" s="307" t="s">
        <v>247</v>
      </c>
      <c r="B71" s="307">
        <v>2018</v>
      </c>
      <c r="C71" s="307">
        <v>1</v>
      </c>
      <c r="D71" s="307">
        <v>1</v>
      </c>
      <c r="E71" s="307">
        <v>1</v>
      </c>
      <c r="F71" s="363">
        <v>8.321687206199975E-2</v>
      </c>
      <c r="G71" s="363">
        <v>-5.7144505542055472E-4</v>
      </c>
    </row>
    <row r="72" spans="1:7" ht="14.25" customHeight="1" x14ac:dyDescent="0.2">
      <c r="A72" s="307" t="s">
        <v>247</v>
      </c>
      <c r="B72" s="307">
        <v>2019</v>
      </c>
      <c r="C72" s="307">
        <v>0</v>
      </c>
      <c r="D72" s="307">
        <v>1</v>
      </c>
      <c r="E72" s="307">
        <v>1</v>
      </c>
      <c r="F72" s="363">
        <v>0.20513722730471498</v>
      </c>
      <c r="G72" s="363">
        <v>2.3696037042080894E-2</v>
      </c>
    </row>
    <row r="73" spans="1:7" ht="14.25" customHeight="1" x14ac:dyDescent="0.2">
      <c r="A73" s="307" t="s">
        <v>136</v>
      </c>
      <c r="B73" s="307">
        <v>2017</v>
      </c>
      <c r="C73" s="307">
        <v>0</v>
      </c>
      <c r="D73" s="307">
        <v>1</v>
      </c>
      <c r="E73" s="307">
        <v>0</v>
      </c>
      <c r="F73" s="363">
        <v>1.7436302280032082E-2</v>
      </c>
      <c r="G73" s="363">
        <v>8.7878589222499012E-2</v>
      </c>
    </row>
    <row r="74" spans="1:7" ht="14.25" customHeight="1" x14ac:dyDescent="0.2">
      <c r="A74" s="307" t="s">
        <v>136</v>
      </c>
      <c r="B74" s="307">
        <v>2018</v>
      </c>
      <c r="C74" s="307">
        <v>0</v>
      </c>
      <c r="D74" s="307">
        <v>1</v>
      </c>
      <c r="E74" s="307">
        <v>0</v>
      </c>
      <c r="F74" s="363">
        <v>5.4415756052988595E-2</v>
      </c>
      <c r="G74" s="363">
        <v>0.35941265794569593</v>
      </c>
    </row>
    <row r="75" spans="1:7" ht="14.25" customHeight="1" x14ac:dyDescent="0.2">
      <c r="A75" s="307" t="s">
        <v>136</v>
      </c>
      <c r="B75" s="307">
        <v>2019</v>
      </c>
      <c r="C75" s="307">
        <v>0</v>
      </c>
      <c r="D75" s="307">
        <v>1</v>
      </c>
      <c r="E75" s="307">
        <v>0</v>
      </c>
      <c r="F75" s="363">
        <v>0.13469928335410375</v>
      </c>
      <c r="G75" s="363">
        <v>0.18411298492342532</v>
      </c>
    </row>
    <row r="76" spans="1:7" ht="14.25" customHeight="1" x14ac:dyDescent="0.2">
      <c r="A76" s="307" t="s">
        <v>250</v>
      </c>
      <c r="B76" s="307">
        <v>2017</v>
      </c>
      <c r="C76" s="307">
        <v>0</v>
      </c>
      <c r="D76" s="307">
        <v>1</v>
      </c>
      <c r="E76" s="307">
        <v>0</v>
      </c>
      <c r="F76" s="363">
        <v>0.27205051899075222</v>
      </c>
      <c r="G76" s="363">
        <v>5.5963691081274266E-3</v>
      </c>
    </row>
    <row r="77" spans="1:7" ht="14.25" customHeight="1" x14ac:dyDescent="0.2">
      <c r="A77" s="307" t="s">
        <v>250</v>
      </c>
      <c r="B77" s="307">
        <v>2018</v>
      </c>
      <c r="C77" s="307">
        <v>0</v>
      </c>
      <c r="D77" s="307">
        <v>1</v>
      </c>
      <c r="E77" s="307">
        <v>0</v>
      </c>
      <c r="F77" s="363">
        <v>0.4025536682129931</v>
      </c>
      <c r="G77" s="363">
        <v>1.3104770805472349E-3</v>
      </c>
    </row>
    <row r="78" spans="1:7" ht="14.25" customHeight="1" x14ac:dyDescent="0.2">
      <c r="A78" s="307" t="s">
        <v>250</v>
      </c>
      <c r="B78" s="307">
        <v>2019</v>
      </c>
      <c r="C78" s="307">
        <v>0</v>
      </c>
      <c r="D78" s="307">
        <v>1</v>
      </c>
      <c r="E78" s="307">
        <v>0</v>
      </c>
      <c r="F78" s="363">
        <v>0.14663403463769045</v>
      </c>
      <c r="G78" s="363">
        <v>7.2385571131427665E-3</v>
      </c>
    </row>
    <row r="79" spans="1:7" ht="14.25" customHeight="1" x14ac:dyDescent="0.2">
      <c r="A79" s="307" t="s">
        <v>57</v>
      </c>
      <c r="B79" s="307">
        <v>2017</v>
      </c>
      <c r="C79" s="307">
        <v>1</v>
      </c>
      <c r="D79" s="307">
        <v>1</v>
      </c>
      <c r="E79" s="307">
        <v>0</v>
      </c>
      <c r="F79" s="363">
        <v>0.1983627112362561</v>
      </c>
      <c r="G79" s="363">
        <v>-0.30296279795054576</v>
      </c>
    </row>
    <row r="80" spans="1:7" ht="14.25" customHeight="1" x14ac:dyDescent="0.2">
      <c r="A80" s="307" t="s">
        <v>57</v>
      </c>
      <c r="B80" s="307">
        <v>2018</v>
      </c>
      <c r="C80" s="307">
        <v>1</v>
      </c>
      <c r="D80" s="307">
        <v>1</v>
      </c>
      <c r="E80" s="307">
        <v>0</v>
      </c>
      <c r="F80" s="363">
        <v>1.2290073980106068E-2</v>
      </c>
      <c r="G80" s="363">
        <v>-0.12793818992517442</v>
      </c>
    </row>
    <row r="81" spans="1:7" ht="14.25" customHeight="1" x14ac:dyDescent="0.2">
      <c r="A81" s="307" t="s">
        <v>57</v>
      </c>
      <c r="B81" s="307">
        <v>2019</v>
      </c>
      <c r="C81" s="307">
        <v>1</v>
      </c>
      <c r="D81" s="307">
        <v>1</v>
      </c>
      <c r="E81" s="307">
        <v>0</v>
      </c>
      <c r="F81" s="363">
        <v>-0.18505774003863931</v>
      </c>
      <c r="G81" s="363">
        <v>-1.0579200310236417E-2</v>
      </c>
    </row>
    <row r="82" spans="1:7" ht="14.25" customHeight="1" x14ac:dyDescent="0.2">
      <c r="A82" s="307" t="s">
        <v>349</v>
      </c>
      <c r="B82" s="307">
        <v>2017</v>
      </c>
      <c r="C82" s="307">
        <v>1</v>
      </c>
      <c r="D82" s="307">
        <v>1</v>
      </c>
      <c r="E82" s="307">
        <v>1</v>
      </c>
      <c r="F82" s="363">
        <v>0.9245030804918849</v>
      </c>
      <c r="G82" s="363">
        <v>0.10066219973271791</v>
      </c>
    </row>
    <row r="83" spans="1:7" ht="14.25" customHeight="1" x14ac:dyDescent="0.2">
      <c r="A83" s="307" t="s">
        <v>349</v>
      </c>
      <c r="B83" s="307">
        <v>2018</v>
      </c>
      <c r="C83" s="307">
        <v>1</v>
      </c>
      <c r="D83" s="307">
        <v>1</v>
      </c>
      <c r="E83" s="307">
        <v>1</v>
      </c>
      <c r="F83" s="363">
        <v>0.67865927548795202</v>
      </c>
      <c r="G83" s="363">
        <v>0.21885729874731566</v>
      </c>
    </row>
    <row r="84" spans="1:7" ht="14.25" customHeight="1" x14ac:dyDescent="0.2">
      <c r="A84" s="307" t="s">
        <v>349</v>
      </c>
      <c r="B84" s="307">
        <v>2019</v>
      </c>
      <c r="C84" s="307">
        <v>1</v>
      </c>
      <c r="D84" s="307">
        <v>1</v>
      </c>
      <c r="E84" s="307">
        <v>1</v>
      </c>
      <c r="F84" s="363">
        <v>-0.1986126964999046</v>
      </c>
      <c r="G84" s="363">
        <v>0.68274162337938016</v>
      </c>
    </row>
    <row r="85" spans="1:7" ht="14.25" customHeight="1" x14ac:dyDescent="0.2">
      <c r="A85" s="307" t="s">
        <v>142</v>
      </c>
      <c r="B85" s="307">
        <v>2017</v>
      </c>
      <c r="C85" s="307">
        <v>1</v>
      </c>
      <c r="D85" s="307">
        <v>1</v>
      </c>
      <c r="E85" s="307">
        <v>0</v>
      </c>
      <c r="F85" s="363">
        <v>3.4551156077801889E-2</v>
      </c>
      <c r="G85" s="363">
        <v>0.3396427203266621</v>
      </c>
    </row>
    <row r="86" spans="1:7" ht="14.25" customHeight="1" x14ac:dyDescent="0.2">
      <c r="A86" s="307" t="s">
        <v>142</v>
      </c>
      <c r="B86" s="307">
        <v>2018</v>
      </c>
      <c r="C86" s="307">
        <v>1</v>
      </c>
      <c r="D86" s="307">
        <v>1</v>
      </c>
      <c r="E86" s="307">
        <v>0</v>
      </c>
      <c r="F86" s="363">
        <v>-0.14759264930626503</v>
      </c>
      <c r="G86" s="363">
        <v>0.4135082413071835</v>
      </c>
    </row>
    <row r="87" spans="1:7" ht="14.25" customHeight="1" x14ac:dyDescent="0.2">
      <c r="A87" s="307" t="s">
        <v>142</v>
      </c>
      <c r="B87" s="307">
        <v>2019</v>
      </c>
      <c r="C87" s="307">
        <v>1</v>
      </c>
      <c r="D87" s="307">
        <v>1</v>
      </c>
      <c r="E87" s="307">
        <v>0</v>
      </c>
      <c r="F87" s="363">
        <v>-0.1400784230371511</v>
      </c>
      <c r="G87" s="363">
        <v>0.17895124770901968</v>
      </c>
    </row>
    <row r="88" spans="1:7" ht="14.25" customHeight="1" x14ac:dyDescent="0.2">
      <c r="A88" s="307" t="s">
        <v>419</v>
      </c>
      <c r="B88" s="307">
        <v>2017</v>
      </c>
      <c r="C88" s="307">
        <v>0</v>
      </c>
      <c r="D88" s="307">
        <v>1</v>
      </c>
      <c r="E88" s="307">
        <v>1</v>
      </c>
      <c r="F88" s="363">
        <v>0.29041928352870178</v>
      </c>
      <c r="G88" s="363">
        <v>0.44627661289951026</v>
      </c>
    </row>
    <row r="89" spans="1:7" ht="14.25" customHeight="1" x14ac:dyDescent="0.2">
      <c r="A89" s="307" t="s">
        <v>419</v>
      </c>
      <c r="B89" s="307">
        <v>2018</v>
      </c>
      <c r="C89" s="307">
        <v>0</v>
      </c>
      <c r="D89" s="307">
        <v>1</v>
      </c>
      <c r="E89" s="307">
        <v>1</v>
      </c>
      <c r="F89" s="363">
        <v>9.2980778848610696E-2</v>
      </c>
      <c r="G89" s="363">
        <v>0.15544158456133722</v>
      </c>
    </row>
    <row r="90" spans="1:7" ht="14.25" customHeight="1" x14ac:dyDescent="0.2">
      <c r="A90" s="307" t="s">
        <v>419</v>
      </c>
      <c r="B90" s="307">
        <v>2019</v>
      </c>
      <c r="C90" s="307">
        <v>0</v>
      </c>
      <c r="D90" s="307">
        <v>1</v>
      </c>
      <c r="E90" s="307">
        <v>1</v>
      </c>
      <c r="F90" s="363">
        <v>8.6677273512737893E-2</v>
      </c>
      <c r="G90" s="363">
        <v>0.42428357356028129</v>
      </c>
    </row>
    <row r="91" spans="1:7" ht="14.25" customHeight="1" x14ac:dyDescent="0.2">
      <c r="A91" s="307" t="s">
        <v>423</v>
      </c>
      <c r="B91" s="307">
        <v>2017</v>
      </c>
      <c r="C91" s="307">
        <v>1</v>
      </c>
      <c r="D91" s="307">
        <v>1</v>
      </c>
      <c r="E91" s="307">
        <v>0</v>
      </c>
      <c r="F91" s="363">
        <v>-0.23515052793883781</v>
      </c>
      <c r="G91" s="363">
        <v>-2.9051273814485353E-2</v>
      </c>
    </row>
    <row r="92" spans="1:7" ht="14.25" customHeight="1" x14ac:dyDescent="0.2">
      <c r="A92" s="307" t="s">
        <v>423</v>
      </c>
      <c r="B92" s="307">
        <v>2018</v>
      </c>
      <c r="C92" s="307">
        <v>1</v>
      </c>
      <c r="D92" s="307">
        <v>1</v>
      </c>
      <c r="E92" s="307">
        <v>1</v>
      </c>
      <c r="F92" s="363">
        <v>0.12394514848142442</v>
      </c>
      <c r="G92" s="363">
        <v>3.06681150955035E-2</v>
      </c>
    </row>
    <row r="93" spans="1:7" ht="14.25" customHeight="1" x14ac:dyDescent="0.2">
      <c r="A93" s="307" t="s">
        <v>423</v>
      </c>
      <c r="B93" s="307">
        <v>2019</v>
      </c>
      <c r="C93" s="307">
        <v>1</v>
      </c>
      <c r="D93" s="307">
        <v>1</v>
      </c>
      <c r="E93" s="307">
        <v>1</v>
      </c>
      <c r="F93" s="363">
        <v>-2.9066189663057566E-2</v>
      </c>
      <c r="G93" s="363">
        <v>-0.10682588858868085</v>
      </c>
    </row>
    <row r="94" spans="1:7" ht="14.25" customHeight="1" x14ac:dyDescent="0.2">
      <c r="A94" s="307" t="s">
        <v>427</v>
      </c>
      <c r="B94" s="307">
        <v>2017</v>
      </c>
      <c r="C94" s="307">
        <v>1</v>
      </c>
      <c r="D94" s="307">
        <v>1</v>
      </c>
      <c r="E94" s="307">
        <v>1</v>
      </c>
      <c r="F94" s="363">
        <v>-0.51111117296059305</v>
      </c>
      <c r="G94" s="363">
        <v>7.4087389497604489E-2</v>
      </c>
    </row>
    <row r="95" spans="1:7" ht="14.25" customHeight="1" x14ac:dyDescent="0.2">
      <c r="A95" s="307" t="s">
        <v>427</v>
      </c>
      <c r="B95" s="307">
        <v>2018</v>
      </c>
      <c r="C95" s="307">
        <v>1</v>
      </c>
      <c r="D95" s="307">
        <v>1</v>
      </c>
      <c r="E95" s="307">
        <v>1</v>
      </c>
      <c r="F95" s="363">
        <v>0.84106108280839387</v>
      </c>
      <c r="G95" s="363">
        <v>-7.5773757166554953E-3</v>
      </c>
    </row>
    <row r="96" spans="1:7" ht="14.25" customHeight="1" x14ac:dyDescent="0.2">
      <c r="A96" s="307" t="s">
        <v>427</v>
      </c>
      <c r="B96" s="307">
        <v>2019</v>
      </c>
      <c r="C96" s="307">
        <v>1</v>
      </c>
      <c r="D96" s="307">
        <v>1</v>
      </c>
      <c r="E96" s="307">
        <v>1</v>
      </c>
      <c r="F96" s="363">
        <v>0.61950410845951209</v>
      </c>
      <c r="G96" s="363">
        <v>2.5804902940351496E-2</v>
      </c>
    </row>
    <row r="97" spans="1:7" ht="14.25" customHeight="1" x14ac:dyDescent="0.2">
      <c r="A97" s="307" t="s">
        <v>622</v>
      </c>
      <c r="B97" s="307">
        <v>2017</v>
      </c>
      <c r="C97" s="307">
        <v>0</v>
      </c>
      <c r="D97" s="307">
        <v>1</v>
      </c>
      <c r="E97" s="307">
        <v>1</v>
      </c>
      <c r="F97" s="363">
        <v>-4.3998240177228698E-2</v>
      </c>
      <c r="G97" s="363">
        <v>0.22033061302159532</v>
      </c>
    </row>
    <row r="98" spans="1:7" ht="14.25" customHeight="1" x14ac:dyDescent="0.2">
      <c r="A98" s="307" t="s">
        <v>622</v>
      </c>
      <c r="B98" s="307">
        <v>2018</v>
      </c>
      <c r="C98" s="307">
        <v>0</v>
      </c>
      <c r="D98" s="307">
        <v>1</v>
      </c>
      <c r="E98" s="307">
        <v>1</v>
      </c>
      <c r="F98" s="363">
        <v>0.19053960570230599</v>
      </c>
      <c r="G98" s="363">
        <v>0.16491096665931002</v>
      </c>
    </row>
    <row r="99" spans="1:7" ht="14.25" customHeight="1" x14ac:dyDescent="0.2">
      <c r="A99" s="307" t="s">
        <v>622</v>
      </c>
      <c r="B99" s="307">
        <v>2019</v>
      </c>
      <c r="C99" s="307">
        <v>0</v>
      </c>
      <c r="D99" s="307">
        <v>1</v>
      </c>
      <c r="E99" s="307">
        <v>1</v>
      </c>
      <c r="F99" s="363">
        <v>-8.1049175369488306E-3</v>
      </c>
      <c r="G99" s="363">
        <v>0.22330932420553493</v>
      </c>
    </row>
    <row r="100" spans="1:7" ht="14.25" customHeight="1" x14ac:dyDescent="0.2">
      <c r="A100" s="307" t="s">
        <v>630</v>
      </c>
      <c r="B100" s="307">
        <v>2017</v>
      </c>
      <c r="C100" s="307">
        <v>1</v>
      </c>
      <c r="D100" s="307">
        <v>1</v>
      </c>
      <c r="E100" s="307">
        <v>1</v>
      </c>
      <c r="F100" s="363">
        <v>-3.2348079653748939E-2</v>
      </c>
      <c r="G100" s="363">
        <v>0.50586304384644376</v>
      </c>
    </row>
    <row r="101" spans="1:7" ht="14.25" customHeight="1" x14ac:dyDescent="0.2">
      <c r="A101" s="307" t="s">
        <v>630</v>
      </c>
      <c r="B101" s="307">
        <v>2018</v>
      </c>
      <c r="C101" s="307">
        <v>1</v>
      </c>
      <c r="D101" s="307">
        <v>1</v>
      </c>
      <c r="E101" s="307">
        <v>1</v>
      </c>
      <c r="F101" s="363">
        <v>0.15875812887957791</v>
      </c>
      <c r="G101" s="363">
        <v>0.8877283220348996</v>
      </c>
    </row>
    <row r="102" spans="1:7" ht="14.25" customHeight="1" x14ac:dyDescent="0.2">
      <c r="A102" s="307" t="s">
        <v>630</v>
      </c>
      <c r="B102" s="307">
        <v>2019</v>
      </c>
      <c r="C102" s="307">
        <v>1</v>
      </c>
      <c r="D102" s="307">
        <v>1</v>
      </c>
      <c r="E102" s="307">
        <v>1</v>
      </c>
      <c r="F102" s="363">
        <v>7.2027335092144998E-2</v>
      </c>
      <c r="G102" s="363">
        <v>0.21568952315512371</v>
      </c>
    </row>
    <row r="103" spans="1:7" ht="14.25" customHeight="1" x14ac:dyDescent="0.2">
      <c r="A103" s="307" t="s">
        <v>633</v>
      </c>
      <c r="B103" s="307">
        <v>2017</v>
      </c>
      <c r="C103" s="307">
        <v>1</v>
      </c>
      <c r="D103" s="307">
        <v>1</v>
      </c>
      <c r="E103" s="307">
        <v>1</v>
      </c>
      <c r="F103" s="363">
        <v>-0.16150333950563858</v>
      </c>
      <c r="G103" s="363">
        <v>6.821724960663049E-2</v>
      </c>
    </row>
    <row r="104" spans="1:7" ht="14.25" customHeight="1" x14ac:dyDescent="0.2">
      <c r="A104" s="307" t="s">
        <v>633</v>
      </c>
      <c r="B104" s="307">
        <v>2018</v>
      </c>
      <c r="C104" s="307">
        <v>1</v>
      </c>
      <c r="D104" s="307">
        <v>1</v>
      </c>
      <c r="E104" s="307">
        <v>1</v>
      </c>
      <c r="F104" s="363">
        <v>-0.22460584560225277</v>
      </c>
      <c r="G104" s="363">
        <v>8.0750035741492934E-2</v>
      </c>
    </row>
    <row r="105" spans="1:7" ht="14.25" customHeight="1" x14ac:dyDescent="0.2">
      <c r="A105" s="307" t="s">
        <v>633</v>
      </c>
      <c r="B105" s="307">
        <v>2019</v>
      </c>
      <c r="C105" s="307">
        <v>1</v>
      </c>
      <c r="D105" s="307">
        <v>1</v>
      </c>
      <c r="E105" s="307">
        <v>1</v>
      </c>
      <c r="F105" s="363">
        <v>1.5575947197380318</v>
      </c>
      <c r="G105" s="363">
        <v>6.5891529855715489E-2</v>
      </c>
    </row>
    <row r="106" spans="1:7" ht="14.25" customHeight="1" x14ac:dyDescent="0.2">
      <c r="A106" s="307" t="s">
        <v>74</v>
      </c>
      <c r="B106" s="307">
        <v>2017</v>
      </c>
      <c r="C106" s="307">
        <v>0</v>
      </c>
      <c r="D106" s="307">
        <v>1</v>
      </c>
      <c r="E106" s="307">
        <v>1</v>
      </c>
      <c r="F106" s="363">
        <v>0.33028265384623318</v>
      </c>
      <c r="G106" s="363">
        <v>0.14771900286979658</v>
      </c>
    </row>
    <row r="107" spans="1:7" ht="14.25" customHeight="1" x14ac:dyDescent="0.2">
      <c r="A107" s="307" t="s">
        <v>74</v>
      </c>
      <c r="B107" s="307">
        <v>2018</v>
      </c>
      <c r="C107" s="307">
        <v>0</v>
      </c>
      <c r="D107" s="307">
        <v>1</v>
      </c>
      <c r="E107" s="307">
        <v>1</v>
      </c>
      <c r="F107" s="363">
        <v>-7.715365633244449E-2</v>
      </c>
      <c r="G107" s="363">
        <v>0.49696694063448854</v>
      </c>
    </row>
    <row r="108" spans="1:7" ht="14.25" customHeight="1" x14ac:dyDescent="0.2">
      <c r="A108" s="307" t="s">
        <v>74</v>
      </c>
      <c r="B108" s="307">
        <v>2019</v>
      </c>
      <c r="C108" s="307">
        <v>0</v>
      </c>
      <c r="D108" s="307">
        <v>1</v>
      </c>
      <c r="E108" s="307">
        <v>1</v>
      </c>
      <c r="F108" s="363">
        <v>0.20472887907001652</v>
      </c>
      <c r="G108" s="363">
        <v>1.1066001628083004</v>
      </c>
    </row>
    <row r="109" spans="1:7" ht="14.25" customHeight="1" x14ac:dyDescent="0.2">
      <c r="A109" s="307" t="s">
        <v>354</v>
      </c>
      <c r="B109" s="307">
        <v>2017</v>
      </c>
      <c r="C109" s="307">
        <v>1</v>
      </c>
      <c r="D109" s="307">
        <v>1</v>
      </c>
      <c r="E109" s="307">
        <v>0</v>
      </c>
      <c r="F109" s="363">
        <v>0.85911545239877751</v>
      </c>
      <c r="G109" s="363">
        <v>0.12128797696093259</v>
      </c>
    </row>
    <row r="110" spans="1:7" ht="14.25" customHeight="1" x14ac:dyDescent="0.2">
      <c r="A110" s="307" t="s">
        <v>354</v>
      </c>
      <c r="B110" s="307">
        <v>2018</v>
      </c>
      <c r="C110" s="307">
        <v>1</v>
      </c>
      <c r="D110" s="307">
        <v>1</v>
      </c>
      <c r="E110" s="307">
        <v>0</v>
      </c>
      <c r="F110" s="363">
        <v>0.43008451691490951</v>
      </c>
      <c r="G110" s="363">
        <v>0.38882754418543947</v>
      </c>
    </row>
    <row r="111" spans="1:7" ht="14.25" customHeight="1" x14ac:dyDescent="0.2">
      <c r="A111" s="307" t="s">
        <v>354</v>
      </c>
      <c r="B111" s="307">
        <v>2019</v>
      </c>
      <c r="C111" s="307">
        <v>1</v>
      </c>
      <c r="D111" s="307">
        <v>1</v>
      </c>
      <c r="E111" s="307">
        <v>0</v>
      </c>
      <c r="F111" s="363">
        <v>-9.0326410599003454E-2</v>
      </c>
      <c r="G111" s="363">
        <v>0.37874813871103358</v>
      </c>
    </row>
    <row r="112" spans="1:7" ht="14.25" customHeight="1" x14ac:dyDescent="0.2">
      <c r="A112" s="307" t="s">
        <v>149</v>
      </c>
      <c r="B112" s="307">
        <v>2017</v>
      </c>
      <c r="C112" s="307">
        <v>1</v>
      </c>
      <c r="D112" s="307">
        <v>1</v>
      </c>
      <c r="E112" s="307">
        <v>1</v>
      </c>
      <c r="F112" s="363">
        <v>8.5637548448807221E-2</v>
      </c>
      <c r="G112" s="363">
        <v>0.23723019766341341</v>
      </c>
    </row>
    <row r="113" spans="1:7" ht="14.25" customHeight="1" x14ac:dyDescent="0.2">
      <c r="A113" s="307" t="s">
        <v>149</v>
      </c>
      <c r="B113" s="307">
        <v>2018</v>
      </c>
      <c r="C113" s="307">
        <v>1</v>
      </c>
      <c r="D113" s="307">
        <v>1</v>
      </c>
      <c r="E113" s="307">
        <v>1</v>
      </c>
      <c r="F113" s="363">
        <v>7.8704153759770204E-2</v>
      </c>
      <c r="G113" s="363">
        <v>0.38050114215675174</v>
      </c>
    </row>
    <row r="114" spans="1:7" ht="14.25" customHeight="1" x14ac:dyDescent="0.2">
      <c r="A114" s="307" t="s">
        <v>149</v>
      </c>
      <c r="B114" s="307">
        <v>2019</v>
      </c>
      <c r="C114" s="307">
        <v>1</v>
      </c>
      <c r="D114" s="307">
        <v>1</v>
      </c>
      <c r="E114" s="307">
        <v>1</v>
      </c>
      <c r="F114" s="363">
        <v>6.6697552657697654E-2</v>
      </c>
      <c r="G114" s="363">
        <v>0.26521990279602792</v>
      </c>
    </row>
    <row r="115" spans="1:7" ht="14.25" customHeight="1" x14ac:dyDescent="0.2">
      <c r="A115" s="307" t="s">
        <v>433</v>
      </c>
      <c r="B115" s="307">
        <v>2017</v>
      </c>
      <c r="C115" s="307">
        <v>0</v>
      </c>
      <c r="D115" s="307">
        <v>1</v>
      </c>
      <c r="E115" s="307">
        <v>1</v>
      </c>
      <c r="F115" s="363">
        <v>0.13181124227140592</v>
      </c>
      <c r="G115" s="363">
        <v>0.25770893183996219</v>
      </c>
    </row>
    <row r="116" spans="1:7" ht="14.25" customHeight="1" x14ac:dyDescent="0.2">
      <c r="A116" s="307" t="s">
        <v>433</v>
      </c>
      <c r="B116" s="307">
        <v>2018</v>
      </c>
      <c r="C116" s="307">
        <v>0</v>
      </c>
      <c r="D116" s="307">
        <v>1</v>
      </c>
      <c r="E116" s="307">
        <v>0</v>
      </c>
      <c r="F116" s="363">
        <v>0.14914272274506962</v>
      </c>
      <c r="G116" s="363">
        <v>0.28698015942718008</v>
      </c>
    </row>
    <row r="117" spans="1:7" ht="14.25" customHeight="1" x14ac:dyDescent="0.2">
      <c r="A117" s="307" t="s">
        <v>433</v>
      </c>
      <c r="B117" s="307">
        <v>2019</v>
      </c>
      <c r="C117" s="307">
        <v>0</v>
      </c>
      <c r="D117" s="307">
        <v>1</v>
      </c>
      <c r="E117" s="307">
        <v>0</v>
      </c>
      <c r="F117" s="363">
        <v>2.5312384058544288E-2</v>
      </c>
      <c r="G117" s="363">
        <v>0.27258036193756852</v>
      </c>
    </row>
    <row r="118" spans="1:7" ht="14.25" customHeight="1" x14ac:dyDescent="0.2">
      <c r="A118" s="307" t="s">
        <v>635</v>
      </c>
      <c r="B118" s="307">
        <v>2017</v>
      </c>
      <c r="C118" s="307">
        <v>0</v>
      </c>
      <c r="D118" s="307">
        <v>1</v>
      </c>
      <c r="E118" s="307">
        <v>1</v>
      </c>
      <c r="F118" s="363">
        <v>-0.26361160529242439</v>
      </c>
      <c r="G118" s="363">
        <v>-0.21139896581048143</v>
      </c>
    </row>
    <row r="119" spans="1:7" ht="14.25" customHeight="1" x14ac:dyDescent="0.2">
      <c r="A119" s="307" t="s">
        <v>635</v>
      </c>
      <c r="B119" s="307">
        <v>2018</v>
      </c>
      <c r="C119" s="307">
        <v>0</v>
      </c>
      <c r="D119" s="307">
        <v>1</v>
      </c>
      <c r="E119" s="307">
        <v>1</v>
      </c>
      <c r="F119" s="363">
        <v>-0.11526451752966232</v>
      </c>
      <c r="G119" s="363">
        <v>7.9917255067464624E-3</v>
      </c>
    </row>
    <row r="120" spans="1:7" ht="14.25" customHeight="1" x14ac:dyDescent="0.2">
      <c r="A120" s="307" t="s">
        <v>635</v>
      </c>
      <c r="B120" s="307">
        <v>2019</v>
      </c>
      <c r="C120" s="307">
        <v>0</v>
      </c>
      <c r="D120" s="307">
        <v>1</v>
      </c>
      <c r="E120" s="307">
        <v>1</v>
      </c>
      <c r="F120" s="363">
        <v>-0.10839321152213076</v>
      </c>
      <c r="G120" s="363">
        <v>-6.2326513486698494E-2</v>
      </c>
    </row>
    <row r="121" spans="1:7" ht="14.25" customHeight="1" x14ac:dyDescent="0.2">
      <c r="A121" s="307" t="s">
        <v>757</v>
      </c>
      <c r="B121" s="307">
        <v>2017</v>
      </c>
      <c r="C121" s="307">
        <v>0</v>
      </c>
      <c r="D121" s="307">
        <v>1</v>
      </c>
      <c r="E121" s="307">
        <v>1</v>
      </c>
      <c r="F121" s="363">
        <v>3.0417448331486529E-2</v>
      </c>
      <c r="G121" s="363">
        <v>0.65202928291801465</v>
      </c>
    </row>
    <row r="122" spans="1:7" ht="14.25" customHeight="1" x14ac:dyDescent="0.2">
      <c r="A122" s="307" t="s">
        <v>757</v>
      </c>
      <c r="B122" s="307">
        <v>2018</v>
      </c>
      <c r="C122" s="307">
        <v>0</v>
      </c>
      <c r="D122" s="307">
        <v>1</v>
      </c>
      <c r="E122" s="307">
        <v>1</v>
      </c>
      <c r="F122" s="363">
        <v>0.18000190209274514</v>
      </c>
      <c r="G122" s="363">
        <v>0.2704852274136561</v>
      </c>
    </row>
    <row r="123" spans="1:7" ht="14.25" customHeight="1" x14ac:dyDescent="0.2">
      <c r="A123" s="307" t="s">
        <v>757</v>
      </c>
      <c r="B123" s="307">
        <v>2019</v>
      </c>
      <c r="C123" s="307">
        <v>0</v>
      </c>
      <c r="D123" s="307">
        <v>1</v>
      </c>
      <c r="E123" s="307">
        <v>1</v>
      </c>
      <c r="F123" s="363">
        <v>0.23888647242202687</v>
      </c>
      <c r="G123" s="363">
        <v>0.24854085844502197</v>
      </c>
    </row>
    <row r="124" spans="1:7" ht="14.25" customHeight="1" x14ac:dyDescent="0.2">
      <c r="A124" s="307" t="s">
        <v>760</v>
      </c>
      <c r="B124" s="307">
        <v>2017</v>
      </c>
      <c r="C124" s="307">
        <v>0</v>
      </c>
      <c r="D124" s="307">
        <v>1</v>
      </c>
      <c r="E124" s="307">
        <v>1</v>
      </c>
      <c r="F124" s="363">
        <v>0.17923609196107718</v>
      </c>
      <c r="G124" s="363">
        <v>0</v>
      </c>
    </row>
    <row r="125" spans="1:7" ht="14.25" customHeight="1" x14ac:dyDescent="0.2">
      <c r="A125" s="307" t="s">
        <v>760</v>
      </c>
      <c r="B125" s="307">
        <v>2018</v>
      </c>
      <c r="C125" s="307">
        <v>0</v>
      </c>
      <c r="D125" s="307">
        <v>1</v>
      </c>
      <c r="E125" s="307">
        <v>1</v>
      </c>
      <c r="F125" s="363">
        <v>0.43393724084555751</v>
      </c>
      <c r="G125" s="363">
        <v>0.47163704135706325</v>
      </c>
    </row>
    <row r="126" spans="1:7" ht="14.25" customHeight="1" x14ac:dyDescent="0.2">
      <c r="A126" s="307" t="s">
        <v>760</v>
      </c>
      <c r="B126" s="307">
        <v>2019</v>
      </c>
      <c r="C126" s="307">
        <v>0</v>
      </c>
      <c r="D126" s="307">
        <v>1</v>
      </c>
      <c r="E126" s="307">
        <v>1</v>
      </c>
      <c r="F126" s="363">
        <v>-5.1786369413520897E-2</v>
      </c>
      <c r="G126" s="363">
        <v>0.4586450072655695</v>
      </c>
    </row>
    <row r="127" spans="1:7" ht="14.25" customHeight="1" x14ac:dyDescent="0.2">
      <c r="A127" s="307" t="s">
        <v>256</v>
      </c>
      <c r="B127" s="307">
        <v>2017</v>
      </c>
      <c r="C127" s="307">
        <v>1</v>
      </c>
      <c r="D127" s="307">
        <v>1</v>
      </c>
      <c r="E127" s="307">
        <v>1</v>
      </c>
      <c r="F127" s="363">
        <v>7.1890091687879326E-2</v>
      </c>
      <c r="G127" s="363">
        <v>1.1826856145870059</v>
      </c>
    </row>
    <row r="128" spans="1:7" ht="14.25" customHeight="1" x14ac:dyDescent="0.2">
      <c r="A128" s="307" t="s">
        <v>256</v>
      </c>
      <c r="B128" s="307">
        <v>2018</v>
      </c>
      <c r="C128" s="307">
        <v>1</v>
      </c>
      <c r="D128" s="307">
        <v>1</v>
      </c>
      <c r="E128" s="307">
        <v>1</v>
      </c>
      <c r="F128" s="363">
        <v>2.7605758469416096E-3</v>
      </c>
      <c r="G128" s="363">
        <v>-1.5407116926128454E-2</v>
      </c>
    </row>
    <row r="129" spans="1:7" ht="14.25" customHeight="1" x14ac:dyDescent="0.2">
      <c r="A129" s="307" t="s">
        <v>256</v>
      </c>
      <c r="B129" s="307">
        <v>2019</v>
      </c>
      <c r="C129" s="307">
        <v>1</v>
      </c>
      <c r="D129" s="307">
        <v>1</v>
      </c>
      <c r="E129" s="307">
        <v>1</v>
      </c>
      <c r="F129" s="363">
        <v>9.5637733985526371E-2</v>
      </c>
      <c r="G129" s="363">
        <v>4.1334059366306068E-2</v>
      </c>
    </row>
    <row r="130" spans="1:7" ht="14.25" customHeight="1" x14ac:dyDescent="0.2">
      <c r="A130" s="307" t="s">
        <v>444</v>
      </c>
      <c r="B130" s="307">
        <v>2017</v>
      </c>
      <c r="C130" s="307">
        <v>0</v>
      </c>
      <c r="D130" s="307">
        <v>0</v>
      </c>
      <c r="E130" s="307">
        <v>0</v>
      </c>
      <c r="F130" s="363">
        <v>0.24893677904792921</v>
      </c>
      <c r="G130" s="363">
        <v>0.10732774561501653</v>
      </c>
    </row>
    <row r="131" spans="1:7" ht="14.25" customHeight="1" x14ac:dyDescent="0.2">
      <c r="A131" s="307" t="s">
        <v>444</v>
      </c>
      <c r="B131" s="307">
        <v>2018</v>
      </c>
      <c r="C131" s="307">
        <v>0</v>
      </c>
      <c r="D131" s="307">
        <v>0</v>
      </c>
      <c r="E131" s="307">
        <v>0</v>
      </c>
      <c r="F131" s="363">
        <v>0.35451273252263699</v>
      </c>
      <c r="G131" s="363">
        <v>0.11114569128088364</v>
      </c>
    </row>
    <row r="132" spans="1:7" ht="14.25" customHeight="1" x14ac:dyDescent="0.2">
      <c r="A132" s="307" t="s">
        <v>444</v>
      </c>
      <c r="B132" s="307">
        <v>2019</v>
      </c>
      <c r="C132" s="307">
        <v>0</v>
      </c>
      <c r="D132" s="307">
        <v>1</v>
      </c>
      <c r="E132" s="307">
        <v>0</v>
      </c>
      <c r="F132" s="363">
        <v>-0.16801716740349815</v>
      </c>
      <c r="G132" s="363">
        <v>0.43355712563547272</v>
      </c>
    </row>
    <row r="133" spans="1:7" ht="14.25" customHeight="1" x14ac:dyDescent="0.2">
      <c r="A133" s="307" t="s">
        <v>531</v>
      </c>
      <c r="B133" s="307">
        <v>2017</v>
      </c>
      <c r="C133" s="307">
        <v>0</v>
      </c>
      <c r="D133" s="307">
        <v>1</v>
      </c>
      <c r="E133" s="307">
        <v>1</v>
      </c>
      <c r="F133" s="363">
        <v>7.1868831672916769E-3</v>
      </c>
      <c r="G133" s="363">
        <v>-6.7176598440948965</v>
      </c>
    </row>
    <row r="134" spans="1:7" ht="14.25" customHeight="1" x14ac:dyDescent="0.2">
      <c r="A134" s="307" t="s">
        <v>531</v>
      </c>
      <c r="B134" s="307">
        <v>2018</v>
      </c>
      <c r="C134" s="307">
        <v>0</v>
      </c>
      <c r="D134" s="307">
        <v>1</v>
      </c>
      <c r="E134" s="307">
        <v>1</v>
      </c>
      <c r="F134" s="363">
        <v>5.9777058974469825E-2</v>
      </c>
      <c r="G134" s="363">
        <v>1.7011515829402324</v>
      </c>
    </row>
    <row r="135" spans="1:7" ht="14.25" customHeight="1" x14ac:dyDescent="0.2">
      <c r="A135" s="307" t="s">
        <v>531</v>
      </c>
      <c r="B135" s="307">
        <v>2019</v>
      </c>
      <c r="C135" s="307">
        <v>0</v>
      </c>
      <c r="D135" s="307">
        <v>1</v>
      </c>
      <c r="E135" s="307">
        <v>1</v>
      </c>
      <c r="F135" s="363">
        <v>-0.15886351497230558</v>
      </c>
      <c r="G135" s="363">
        <v>787.67124542124543</v>
      </c>
    </row>
    <row r="136" spans="1:7" ht="14.25" customHeight="1" x14ac:dyDescent="0.2">
      <c r="A136" s="307" t="s">
        <v>362</v>
      </c>
      <c r="B136" s="307">
        <v>2017</v>
      </c>
      <c r="C136" s="307">
        <v>1</v>
      </c>
      <c r="D136" s="307">
        <v>1</v>
      </c>
      <c r="E136" s="307">
        <v>1</v>
      </c>
      <c r="F136" s="363">
        <v>0.9790442998142016</v>
      </c>
      <c r="G136" s="363">
        <v>0.10727204934437169</v>
      </c>
    </row>
    <row r="137" spans="1:7" ht="14.25" customHeight="1" x14ac:dyDescent="0.2">
      <c r="A137" s="307" t="s">
        <v>362</v>
      </c>
      <c r="B137" s="307">
        <v>2018</v>
      </c>
      <c r="C137" s="307">
        <v>1</v>
      </c>
      <c r="D137" s="307">
        <v>1</v>
      </c>
      <c r="E137" s="307">
        <v>1</v>
      </c>
      <c r="F137" s="363">
        <v>0.47049145986797386</v>
      </c>
      <c r="G137" s="363">
        <v>0.51897568644239489</v>
      </c>
    </row>
    <row r="138" spans="1:7" ht="14.25" customHeight="1" x14ac:dyDescent="0.2">
      <c r="A138" s="307" t="s">
        <v>362</v>
      </c>
      <c r="B138" s="307">
        <v>2019</v>
      </c>
      <c r="C138" s="307">
        <v>1</v>
      </c>
      <c r="D138" s="307">
        <v>1</v>
      </c>
      <c r="E138" s="307">
        <v>1</v>
      </c>
      <c r="F138" s="363">
        <v>2.3246109367802765E-2</v>
      </c>
      <c r="G138" s="363">
        <v>0.41770904938469194</v>
      </c>
    </row>
    <row r="139" spans="1:7" ht="14.25" customHeight="1" x14ac:dyDescent="0.2">
      <c r="A139" s="307" t="s">
        <v>154</v>
      </c>
      <c r="B139" s="307">
        <v>2017</v>
      </c>
      <c r="C139" s="307">
        <v>0</v>
      </c>
      <c r="D139" s="307">
        <v>1</v>
      </c>
      <c r="E139" s="307">
        <v>1</v>
      </c>
      <c r="F139" s="363">
        <v>9.2190844166372646E-2</v>
      </c>
      <c r="G139" s="363">
        <v>0.25285267721629601</v>
      </c>
    </row>
    <row r="140" spans="1:7" ht="14.25" customHeight="1" x14ac:dyDescent="0.2">
      <c r="A140" s="307" t="s">
        <v>154</v>
      </c>
      <c r="B140" s="307">
        <v>2018</v>
      </c>
      <c r="C140" s="307">
        <v>0</v>
      </c>
      <c r="D140" s="307">
        <v>1</v>
      </c>
      <c r="E140" s="307">
        <v>1</v>
      </c>
      <c r="F140" s="363">
        <v>0.14886981928356235</v>
      </c>
      <c r="G140" s="363">
        <v>0.27649862461426122</v>
      </c>
    </row>
    <row r="141" spans="1:7" ht="14.25" customHeight="1" x14ac:dyDescent="0.2">
      <c r="A141" s="307" t="s">
        <v>154</v>
      </c>
      <c r="B141" s="307">
        <v>2019</v>
      </c>
      <c r="C141" s="307">
        <v>0</v>
      </c>
      <c r="D141" s="307">
        <v>1</v>
      </c>
      <c r="E141" s="307">
        <v>1</v>
      </c>
      <c r="F141" s="363">
        <v>0.15480637114710449</v>
      </c>
      <c r="G141" s="363">
        <v>0.22119674185117674</v>
      </c>
    </row>
    <row r="142" spans="1:7" ht="14.25" customHeight="1" x14ac:dyDescent="0.2">
      <c r="A142" s="307" t="s">
        <v>264</v>
      </c>
      <c r="B142" s="307">
        <v>2017</v>
      </c>
      <c r="C142" s="307">
        <v>1</v>
      </c>
      <c r="D142" s="307">
        <v>0</v>
      </c>
      <c r="E142" s="307">
        <v>1</v>
      </c>
      <c r="F142" s="363">
        <v>8.2786167001734093E-2</v>
      </c>
      <c r="G142" s="363">
        <v>-0.16397117556177246</v>
      </c>
    </row>
    <row r="143" spans="1:7" ht="14.25" customHeight="1" x14ac:dyDescent="0.2">
      <c r="A143" s="307" t="s">
        <v>264</v>
      </c>
      <c r="B143" s="307">
        <v>2018</v>
      </c>
      <c r="C143" s="307">
        <v>1</v>
      </c>
      <c r="D143" s="307">
        <v>0</v>
      </c>
      <c r="E143" s="307">
        <v>1</v>
      </c>
      <c r="F143" s="363">
        <v>-9.715495332782062E-2</v>
      </c>
      <c r="G143" s="363">
        <v>-0.77847379462928989</v>
      </c>
    </row>
    <row r="144" spans="1:7" ht="14.25" customHeight="1" x14ac:dyDescent="0.2">
      <c r="A144" s="307" t="s">
        <v>264</v>
      </c>
      <c r="B144" s="307">
        <v>2019</v>
      </c>
      <c r="C144" s="307">
        <v>1</v>
      </c>
      <c r="D144" s="307">
        <v>0</v>
      </c>
      <c r="E144" s="307">
        <v>1</v>
      </c>
      <c r="F144" s="363">
        <v>3.2362891713739766E-2</v>
      </c>
      <c r="G144" s="363">
        <v>5.1399956827759156E-2</v>
      </c>
    </row>
    <row r="145" spans="1:7" ht="14.25" customHeight="1" x14ac:dyDescent="0.2">
      <c r="A145" s="307" t="s">
        <v>536</v>
      </c>
      <c r="B145" s="307">
        <v>2017</v>
      </c>
      <c r="C145" s="307">
        <v>1</v>
      </c>
      <c r="D145" s="307">
        <v>1</v>
      </c>
      <c r="E145" s="307">
        <v>1</v>
      </c>
      <c r="F145" s="363">
        <v>3.7654299435891853E-2</v>
      </c>
      <c r="G145" s="363">
        <v>0.5902699767842432</v>
      </c>
    </row>
    <row r="146" spans="1:7" ht="14.25" customHeight="1" x14ac:dyDescent="0.2">
      <c r="A146" s="307" t="s">
        <v>536</v>
      </c>
      <c r="B146" s="307">
        <v>2018</v>
      </c>
      <c r="C146" s="307">
        <v>1</v>
      </c>
      <c r="D146" s="307">
        <v>1</v>
      </c>
      <c r="E146" s="307">
        <v>1</v>
      </c>
      <c r="F146" s="363">
        <v>8.503767393010972E-2</v>
      </c>
      <c r="G146" s="363">
        <v>-1.6185312846877373</v>
      </c>
    </row>
    <row r="147" spans="1:7" ht="14.25" customHeight="1" x14ac:dyDescent="0.2">
      <c r="A147" s="307" t="s">
        <v>536</v>
      </c>
      <c r="B147" s="307">
        <v>2019</v>
      </c>
      <c r="C147" s="307">
        <v>1</v>
      </c>
      <c r="D147" s="307">
        <v>1</v>
      </c>
      <c r="E147" s="307">
        <v>1</v>
      </c>
      <c r="F147" s="363">
        <v>3.8402888767180114E-2</v>
      </c>
      <c r="G147" s="363">
        <v>0.11928338676847007</v>
      </c>
    </row>
    <row r="148" spans="1:7" ht="14.25" customHeight="1" x14ac:dyDescent="0.2">
      <c r="A148" s="307" t="s">
        <v>540</v>
      </c>
      <c r="B148" s="307">
        <v>2017</v>
      </c>
      <c r="C148" s="307">
        <v>0</v>
      </c>
      <c r="D148" s="307">
        <v>0</v>
      </c>
      <c r="E148" s="307">
        <v>1</v>
      </c>
      <c r="F148" s="363">
        <v>9.5364829278175606E-2</v>
      </c>
      <c r="G148" s="363">
        <v>0.2477777453213133</v>
      </c>
    </row>
    <row r="149" spans="1:7" ht="14.25" customHeight="1" x14ac:dyDescent="0.2">
      <c r="A149" s="307" t="s">
        <v>540</v>
      </c>
      <c r="B149" s="307">
        <v>2018</v>
      </c>
      <c r="C149" s="307">
        <v>0</v>
      </c>
      <c r="D149" s="307">
        <v>0</v>
      </c>
      <c r="E149" s="307">
        <v>1</v>
      </c>
      <c r="F149" s="363">
        <v>0.143388030705459</v>
      </c>
      <c r="G149" s="363">
        <v>0.694380794371252</v>
      </c>
    </row>
    <row r="150" spans="1:7" ht="14.25" customHeight="1" x14ac:dyDescent="0.2">
      <c r="A150" s="307" t="s">
        <v>540</v>
      </c>
      <c r="B150" s="307">
        <v>2019</v>
      </c>
      <c r="C150" s="307">
        <v>1</v>
      </c>
      <c r="D150" s="307">
        <v>0</v>
      </c>
      <c r="E150" s="307">
        <v>1</v>
      </c>
      <c r="F150" s="363">
        <v>6.7204122791457599E-2</v>
      </c>
      <c r="G150" s="363">
        <v>-2.8060184996158286</v>
      </c>
    </row>
    <row r="151" spans="1:7" ht="14.25" customHeight="1" x14ac:dyDescent="0.2">
      <c r="A151" s="307" t="s">
        <v>542</v>
      </c>
      <c r="B151" s="307">
        <v>2017</v>
      </c>
      <c r="C151" s="307">
        <v>0</v>
      </c>
      <c r="D151" s="307">
        <v>1</v>
      </c>
      <c r="E151" s="307">
        <v>1</v>
      </c>
      <c r="F151" s="363">
        <v>-0.21476609116950376</v>
      </c>
      <c r="G151" s="363">
        <v>0</v>
      </c>
    </row>
    <row r="152" spans="1:7" ht="14.25" customHeight="1" x14ac:dyDescent="0.2">
      <c r="A152" s="307" t="s">
        <v>542</v>
      </c>
      <c r="B152" s="307">
        <v>2018</v>
      </c>
      <c r="C152" s="307">
        <v>0</v>
      </c>
      <c r="D152" s="307">
        <v>1</v>
      </c>
      <c r="E152" s="307">
        <v>1</v>
      </c>
      <c r="F152" s="363">
        <v>-0.59163549960788997</v>
      </c>
      <c r="G152" s="363">
        <v>0</v>
      </c>
    </row>
    <row r="153" spans="1:7" ht="14.25" customHeight="1" x14ac:dyDescent="0.2">
      <c r="A153" s="307" t="s">
        <v>542</v>
      </c>
      <c r="B153" s="307">
        <v>2019</v>
      </c>
      <c r="C153" s="307">
        <v>0</v>
      </c>
      <c r="D153" s="307">
        <v>1</v>
      </c>
      <c r="E153" s="307">
        <v>1</v>
      </c>
      <c r="F153" s="363">
        <v>-0.9841532416678519</v>
      </c>
      <c r="G153" s="363">
        <v>0</v>
      </c>
    </row>
    <row r="154" spans="1:7" ht="14.25" customHeight="1" x14ac:dyDescent="0.2">
      <c r="A154" s="307" t="s">
        <v>770</v>
      </c>
      <c r="B154" s="307">
        <v>2017</v>
      </c>
      <c r="C154" s="307">
        <v>1</v>
      </c>
      <c r="D154" s="307">
        <v>1</v>
      </c>
      <c r="E154" s="307">
        <v>1</v>
      </c>
      <c r="F154" s="363">
        <v>-4.710456574170465E-2</v>
      </c>
      <c r="G154" s="363">
        <v>-0.34666020258536762</v>
      </c>
    </row>
    <row r="155" spans="1:7" ht="14.25" customHeight="1" x14ac:dyDescent="0.2">
      <c r="A155" s="307" t="s">
        <v>770</v>
      </c>
      <c r="B155" s="307">
        <v>2018</v>
      </c>
      <c r="C155" s="307">
        <v>1</v>
      </c>
      <c r="D155" s="307">
        <v>1</v>
      </c>
      <c r="E155" s="307">
        <v>1</v>
      </c>
      <c r="F155" s="363">
        <v>-4.8527510124187889E-3</v>
      </c>
      <c r="G155" s="363">
        <v>-7.4415300938950268E-2</v>
      </c>
    </row>
    <row r="156" spans="1:7" ht="14.25" customHeight="1" x14ac:dyDescent="0.2">
      <c r="A156" s="307" t="s">
        <v>770</v>
      </c>
      <c r="B156" s="307">
        <v>2019</v>
      </c>
      <c r="C156" s="307">
        <v>1</v>
      </c>
      <c r="D156" s="307">
        <v>1</v>
      </c>
      <c r="E156" s="307">
        <v>1</v>
      </c>
      <c r="F156" s="363">
        <v>-5.4170079247430433E-2</v>
      </c>
      <c r="G156" s="363">
        <v>0.91652311225954641</v>
      </c>
    </row>
    <row r="157" spans="1:7" ht="14.25" customHeight="1" x14ac:dyDescent="0.2">
      <c r="A157" s="307" t="s">
        <v>774</v>
      </c>
      <c r="B157" s="307">
        <v>2017</v>
      </c>
      <c r="C157" s="307">
        <v>0</v>
      </c>
      <c r="D157" s="307">
        <v>1</v>
      </c>
      <c r="E157" s="307">
        <v>1</v>
      </c>
      <c r="F157" s="363">
        <v>-0.81261233350063811</v>
      </c>
      <c r="G157" s="363">
        <v>0.24630973665319519</v>
      </c>
    </row>
    <row r="158" spans="1:7" ht="14.25" customHeight="1" x14ac:dyDescent="0.2">
      <c r="A158" s="307" t="s">
        <v>774</v>
      </c>
      <c r="B158" s="307">
        <v>2018</v>
      </c>
      <c r="C158" s="307">
        <v>0</v>
      </c>
      <c r="D158" s="307">
        <v>1</v>
      </c>
      <c r="E158" s="307">
        <v>1</v>
      </c>
      <c r="F158" s="363">
        <v>7.5199440726319953</v>
      </c>
      <c r="G158" s="363">
        <v>0.22861189112412206</v>
      </c>
    </row>
    <row r="159" spans="1:7" ht="14.25" customHeight="1" x14ac:dyDescent="0.2">
      <c r="A159" s="307" t="s">
        <v>774</v>
      </c>
      <c r="B159" s="307">
        <v>2019</v>
      </c>
      <c r="C159" s="307">
        <v>0</v>
      </c>
      <c r="D159" s="307">
        <v>1</v>
      </c>
      <c r="E159" s="307">
        <v>1</v>
      </c>
      <c r="F159" s="363">
        <v>-3.4413793103448276E-2</v>
      </c>
      <c r="G159" s="363">
        <v>0.28072050702848228</v>
      </c>
    </row>
    <row r="160" spans="1:7" ht="14.25" customHeight="1" x14ac:dyDescent="0.2">
      <c r="A160" s="307" t="s">
        <v>266</v>
      </c>
      <c r="B160" s="307">
        <v>2017</v>
      </c>
      <c r="C160" s="307">
        <v>1</v>
      </c>
      <c r="D160" s="307">
        <v>1</v>
      </c>
      <c r="E160" s="307">
        <v>0</v>
      </c>
      <c r="F160" s="363">
        <v>0.12314263488573843</v>
      </c>
      <c r="G160" s="363">
        <v>0.14315546381267139</v>
      </c>
    </row>
    <row r="161" spans="1:7" ht="14.25" customHeight="1" x14ac:dyDescent="0.2">
      <c r="A161" s="307" t="s">
        <v>266</v>
      </c>
      <c r="B161" s="307">
        <v>2018</v>
      </c>
      <c r="C161" s="307">
        <v>1</v>
      </c>
      <c r="D161" s="307">
        <v>1</v>
      </c>
      <c r="E161" s="307">
        <v>1</v>
      </c>
      <c r="F161" s="363">
        <v>0.29116597175819053</v>
      </c>
      <c r="G161" s="363">
        <v>0.1162788945502269</v>
      </c>
    </row>
    <row r="162" spans="1:7" ht="14.25" customHeight="1" x14ac:dyDescent="0.2">
      <c r="A162" s="307" t="s">
        <v>266</v>
      </c>
      <c r="B162" s="307">
        <v>2019</v>
      </c>
      <c r="C162" s="307">
        <v>1</v>
      </c>
      <c r="D162" s="307">
        <v>0</v>
      </c>
      <c r="E162" s="307">
        <v>1</v>
      </c>
      <c r="F162" s="363">
        <v>1.8099173368528038E-2</v>
      </c>
      <c r="G162" s="363">
        <v>0.14552400305222393</v>
      </c>
    </row>
    <row r="163" spans="1:7" ht="14.25" customHeight="1" x14ac:dyDescent="0.2">
      <c r="A163" s="307" t="s">
        <v>158</v>
      </c>
      <c r="B163" s="307">
        <v>2017</v>
      </c>
      <c r="C163" s="307">
        <v>1</v>
      </c>
      <c r="D163" s="307">
        <v>1</v>
      </c>
      <c r="E163" s="307">
        <v>1</v>
      </c>
      <c r="F163" s="363">
        <v>3.7969560408928953E-2</v>
      </c>
      <c r="G163" s="363">
        <v>0.25676198945403694</v>
      </c>
    </row>
    <row r="164" spans="1:7" ht="14.25" customHeight="1" x14ac:dyDescent="0.2">
      <c r="A164" s="307" t="s">
        <v>158</v>
      </c>
      <c r="B164" s="307">
        <v>2018</v>
      </c>
      <c r="C164" s="307">
        <v>1</v>
      </c>
      <c r="D164" s="307">
        <v>1</v>
      </c>
      <c r="E164" s="307">
        <v>1</v>
      </c>
      <c r="F164" s="363">
        <v>7.7205494268306654E-2</v>
      </c>
      <c r="G164" s="363">
        <v>0.24566738575097338</v>
      </c>
    </row>
    <row r="165" spans="1:7" ht="14.25" customHeight="1" x14ac:dyDescent="0.2">
      <c r="A165" s="307" t="s">
        <v>158</v>
      </c>
      <c r="B165" s="307">
        <v>2019</v>
      </c>
      <c r="C165" s="307">
        <v>1</v>
      </c>
      <c r="D165" s="307">
        <v>1</v>
      </c>
      <c r="E165" s="307">
        <v>1</v>
      </c>
      <c r="F165" s="363">
        <v>-6.433416099027138E-3</v>
      </c>
      <c r="G165" s="363">
        <v>0.25360828762223209</v>
      </c>
    </row>
    <row r="166" spans="1:7" ht="14.25" customHeight="1" x14ac:dyDescent="0.2">
      <c r="A166" s="358" t="s">
        <v>167</v>
      </c>
      <c r="B166" s="307">
        <v>2017</v>
      </c>
      <c r="C166" s="307">
        <v>0</v>
      </c>
      <c r="D166" s="307">
        <v>1</v>
      </c>
      <c r="E166" s="307">
        <v>1</v>
      </c>
      <c r="F166" s="363">
        <v>3.582104861767349E-2</v>
      </c>
      <c r="G166" s="363">
        <v>0.35769925676468595</v>
      </c>
    </row>
    <row r="167" spans="1:7" ht="14.25" customHeight="1" x14ac:dyDescent="0.2">
      <c r="A167" s="358" t="s">
        <v>167</v>
      </c>
      <c r="B167" s="307">
        <v>2018</v>
      </c>
      <c r="C167" s="307">
        <v>0</v>
      </c>
      <c r="D167" s="307">
        <v>1</v>
      </c>
      <c r="E167" s="307">
        <v>1</v>
      </c>
      <c r="F167" s="363">
        <v>7.882849111679964E-2</v>
      </c>
      <c r="G167" s="363">
        <v>0.31108917080374171</v>
      </c>
    </row>
    <row r="168" spans="1:7" ht="14.25" customHeight="1" x14ac:dyDescent="0.2">
      <c r="A168" s="358" t="s">
        <v>167</v>
      </c>
      <c r="B168" s="307">
        <v>2019</v>
      </c>
      <c r="C168" s="307">
        <v>0</v>
      </c>
      <c r="D168" s="307">
        <v>1</v>
      </c>
      <c r="E168" s="307">
        <v>1</v>
      </c>
      <c r="F168" s="363">
        <v>0.10109220460450176</v>
      </c>
      <c r="G168" s="363">
        <v>0.2183660069158366</v>
      </c>
    </row>
    <row r="169" spans="1:7" ht="14.25" customHeight="1" x14ac:dyDescent="0.2">
      <c r="A169" s="307" t="s">
        <v>546</v>
      </c>
      <c r="B169" s="307">
        <v>2017</v>
      </c>
      <c r="C169" s="307">
        <v>0</v>
      </c>
      <c r="D169" s="307">
        <v>1</v>
      </c>
      <c r="E169" s="307">
        <v>1</v>
      </c>
      <c r="F169" s="363">
        <v>2.0592331360424113E-2</v>
      </c>
      <c r="G169" s="363">
        <v>3.8295818972966713</v>
      </c>
    </row>
    <row r="170" spans="1:7" ht="14.25" customHeight="1" x14ac:dyDescent="0.2">
      <c r="A170" s="307" t="s">
        <v>546</v>
      </c>
      <c r="B170" s="307">
        <v>2018</v>
      </c>
      <c r="C170" s="307">
        <v>0</v>
      </c>
      <c r="D170" s="307">
        <v>1</v>
      </c>
      <c r="E170" s="307">
        <v>1</v>
      </c>
      <c r="F170" s="363">
        <v>0.16399261165505674</v>
      </c>
      <c r="G170" s="363">
        <v>4.8373472820490466</v>
      </c>
    </row>
    <row r="171" spans="1:7" ht="14.25" customHeight="1" x14ac:dyDescent="0.2">
      <c r="A171" s="307" t="s">
        <v>546</v>
      </c>
      <c r="B171" s="307">
        <v>2019</v>
      </c>
      <c r="C171" s="307">
        <v>0</v>
      </c>
      <c r="D171" s="307">
        <v>1</v>
      </c>
      <c r="E171" s="307">
        <v>1</v>
      </c>
      <c r="F171" s="363">
        <v>4.1215291581632105E-2</v>
      </c>
      <c r="G171" s="363">
        <v>1.514317865620904</v>
      </c>
    </row>
    <row r="172" spans="1:7" ht="14.25" customHeight="1" x14ac:dyDescent="0.2">
      <c r="A172" s="307" t="s">
        <v>366</v>
      </c>
      <c r="B172" s="307">
        <v>2017</v>
      </c>
      <c r="C172" s="307">
        <v>1</v>
      </c>
      <c r="D172" s="307">
        <v>0</v>
      </c>
      <c r="E172" s="307">
        <v>0</v>
      </c>
      <c r="F172" s="363">
        <v>7.9032866218206904E-2</v>
      </c>
      <c r="G172" s="363">
        <v>-0.65013032145960037</v>
      </c>
    </row>
    <row r="173" spans="1:7" ht="14.25" customHeight="1" x14ac:dyDescent="0.2">
      <c r="A173" s="307" t="s">
        <v>366</v>
      </c>
      <c r="B173" s="307">
        <v>2018</v>
      </c>
      <c r="C173" s="307">
        <v>1</v>
      </c>
      <c r="D173" s="307">
        <v>0</v>
      </c>
      <c r="E173" s="307">
        <v>0</v>
      </c>
      <c r="F173" s="363">
        <v>0.31918008365634065</v>
      </c>
      <c r="G173" s="363">
        <v>0.4399578779185882</v>
      </c>
    </row>
    <row r="174" spans="1:7" ht="14.25" customHeight="1" x14ac:dyDescent="0.2">
      <c r="A174" s="307" t="s">
        <v>366</v>
      </c>
      <c r="B174" s="307">
        <v>2019</v>
      </c>
      <c r="C174" s="307">
        <v>1</v>
      </c>
      <c r="D174" s="307">
        <v>0</v>
      </c>
      <c r="E174" s="307">
        <v>0</v>
      </c>
      <c r="F174" s="363">
        <v>-2.8060238347810261E-2</v>
      </c>
      <c r="G174" s="363">
        <v>0.79222760725183994</v>
      </c>
    </row>
    <row r="175" spans="1:7" ht="14.25" customHeight="1" x14ac:dyDescent="0.2">
      <c r="A175" s="307" t="s">
        <v>176</v>
      </c>
      <c r="B175" s="307">
        <v>2017</v>
      </c>
      <c r="C175" s="307">
        <v>1</v>
      </c>
      <c r="D175" s="307">
        <v>1</v>
      </c>
      <c r="E175" s="307">
        <v>1</v>
      </c>
      <c r="F175" s="363">
        <v>5.2912710815463261E-2</v>
      </c>
      <c r="G175" s="363">
        <v>0.44692496782029612</v>
      </c>
    </row>
    <row r="176" spans="1:7" ht="14.25" customHeight="1" x14ac:dyDescent="0.2">
      <c r="A176" s="307" t="s">
        <v>176</v>
      </c>
      <c r="B176" s="307">
        <v>2018</v>
      </c>
      <c r="C176" s="307">
        <v>1</v>
      </c>
      <c r="D176" s="307">
        <v>1</v>
      </c>
      <c r="E176" s="307">
        <v>1</v>
      </c>
      <c r="F176" s="363">
        <v>4.5708285872956583E-2</v>
      </c>
      <c r="G176" s="363">
        <v>0.46474940264263326</v>
      </c>
    </row>
    <row r="177" spans="1:7" ht="14.25" customHeight="1" x14ac:dyDescent="0.2">
      <c r="A177" s="307" t="s">
        <v>176</v>
      </c>
      <c r="B177" s="307">
        <v>2019</v>
      </c>
      <c r="C177" s="307">
        <v>1</v>
      </c>
      <c r="D177" s="307">
        <v>1</v>
      </c>
      <c r="E177" s="307">
        <v>1</v>
      </c>
      <c r="F177" s="363">
        <v>4.3575704783591539E-2</v>
      </c>
      <c r="G177" s="363">
        <v>0.26992397304637106</v>
      </c>
    </row>
    <row r="178" spans="1:7" ht="14.25" customHeight="1" x14ac:dyDescent="0.2">
      <c r="A178" s="307" t="s">
        <v>549</v>
      </c>
      <c r="B178" s="307">
        <v>2017</v>
      </c>
      <c r="C178" s="307">
        <v>0</v>
      </c>
      <c r="D178" s="307">
        <v>1</v>
      </c>
      <c r="E178" s="307">
        <v>0</v>
      </c>
      <c r="F178" s="363">
        <v>8.98626011064073E-2</v>
      </c>
      <c r="G178" s="363">
        <v>0.7270034794078567</v>
      </c>
    </row>
    <row r="179" spans="1:7" ht="14.25" customHeight="1" x14ac:dyDescent="0.2">
      <c r="A179" s="307" t="s">
        <v>549</v>
      </c>
      <c r="B179" s="307">
        <v>2018</v>
      </c>
      <c r="C179" s="307">
        <v>0</v>
      </c>
      <c r="D179" s="307">
        <v>1</v>
      </c>
      <c r="E179" s="307">
        <v>0</v>
      </c>
      <c r="F179" s="363">
        <v>0.15313323582998947</v>
      </c>
      <c r="G179" s="363">
        <v>1.3305539398509538E-2</v>
      </c>
    </row>
    <row r="180" spans="1:7" ht="14.25" customHeight="1" x14ac:dyDescent="0.2">
      <c r="A180" s="307" t="s">
        <v>549</v>
      </c>
      <c r="B180" s="307">
        <v>2019</v>
      </c>
      <c r="C180" s="307">
        <v>0</v>
      </c>
      <c r="D180" s="307">
        <v>1</v>
      </c>
      <c r="E180" s="307">
        <v>0</v>
      </c>
      <c r="F180" s="363">
        <v>-0.11689264231326775</v>
      </c>
      <c r="G180" s="363">
        <v>2.3315192737381685E-2</v>
      </c>
    </row>
    <row r="181" spans="1:7" ht="14.25" customHeight="1" x14ac:dyDescent="0.2">
      <c r="A181" s="307" t="s">
        <v>368</v>
      </c>
      <c r="B181" s="307">
        <v>2017</v>
      </c>
      <c r="C181" s="307">
        <v>1</v>
      </c>
      <c r="D181" s="307">
        <v>1</v>
      </c>
      <c r="E181" s="307">
        <v>1</v>
      </c>
      <c r="F181" s="363">
        <v>0.41952607147086213</v>
      </c>
      <c r="G181" s="363">
        <v>0.16347661118884863</v>
      </c>
    </row>
    <row r="182" spans="1:7" ht="14.25" customHeight="1" x14ac:dyDescent="0.2">
      <c r="A182" s="307" t="s">
        <v>368</v>
      </c>
      <c r="B182" s="307">
        <v>2018</v>
      </c>
      <c r="C182" s="307">
        <v>1</v>
      </c>
      <c r="D182" s="307">
        <v>1</v>
      </c>
      <c r="E182" s="307">
        <v>0</v>
      </c>
      <c r="F182" s="363">
        <v>1.8815654683597365</v>
      </c>
      <c r="G182" s="363">
        <v>1.0283106511572071</v>
      </c>
    </row>
    <row r="183" spans="1:7" ht="14.25" customHeight="1" x14ac:dyDescent="0.2">
      <c r="A183" s="307" t="s">
        <v>368</v>
      </c>
      <c r="B183" s="307">
        <v>2019</v>
      </c>
      <c r="C183" s="307">
        <v>1</v>
      </c>
      <c r="D183" s="307">
        <v>1</v>
      </c>
      <c r="E183" s="307">
        <v>0</v>
      </c>
      <c r="F183" s="363">
        <v>-9.3135297542516704E-2</v>
      </c>
      <c r="G183" s="363">
        <v>4.2639521649506174</v>
      </c>
    </row>
    <row r="184" spans="1:7" ht="14.25" customHeight="1" x14ac:dyDescent="0.2">
      <c r="A184" s="307" t="s">
        <v>451</v>
      </c>
      <c r="B184" s="307">
        <v>2017</v>
      </c>
      <c r="C184" s="307">
        <v>1</v>
      </c>
      <c r="D184" s="307">
        <v>1</v>
      </c>
      <c r="E184" s="307">
        <v>0</v>
      </c>
      <c r="F184" s="363">
        <v>0.11429739334791693</v>
      </c>
      <c r="G184" s="363">
        <v>0</v>
      </c>
    </row>
    <row r="185" spans="1:7" ht="14.25" customHeight="1" x14ac:dyDescent="0.2">
      <c r="A185" s="307" t="s">
        <v>451</v>
      </c>
      <c r="B185" s="307">
        <v>2018</v>
      </c>
      <c r="C185" s="307">
        <v>1</v>
      </c>
      <c r="D185" s="307">
        <v>1</v>
      </c>
      <c r="E185" s="307">
        <v>0</v>
      </c>
      <c r="F185" s="363">
        <v>0.139506153945954</v>
      </c>
      <c r="G185" s="363">
        <v>5.1894992218877209E-2</v>
      </c>
    </row>
    <row r="186" spans="1:7" ht="14.25" customHeight="1" x14ac:dyDescent="0.2">
      <c r="A186" s="307" t="s">
        <v>451</v>
      </c>
      <c r="B186" s="307">
        <v>2019</v>
      </c>
      <c r="C186" s="307">
        <v>1</v>
      </c>
      <c r="D186" s="307">
        <v>1</v>
      </c>
      <c r="E186" s="307">
        <v>0</v>
      </c>
      <c r="F186" s="363">
        <v>-6.6920362399682271E-2</v>
      </c>
      <c r="G186" s="363">
        <v>0.39092026328421675</v>
      </c>
    </row>
    <row r="187" spans="1:7" ht="14.25" customHeight="1" x14ac:dyDescent="0.2">
      <c r="A187" s="307" t="s">
        <v>455</v>
      </c>
      <c r="B187" s="307">
        <v>2017</v>
      </c>
      <c r="C187" s="307">
        <v>0</v>
      </c>
      <c r="D187" s="307">
        <v>1</v>
      </c>
      <c r="E187" s="307">
        <v>1</v>
      </c>
      <c r="F187" s="363">
        <v>-6.0583870712817053E-2</v>
      </c>
      <c r="G187" s="363">
        <v>0.12002986028341919</v>
      </c>
    </row>
    <row r="188" spans="1:7" ht="14.25" customHeight="1" x14ac:dyDescent="0.2">
      <c r="A188" s="307" t="s">
        <v>455</v>
      </c>
      <c r="B188" s="307">
        <v>2018</v>
      </c>
      <c r="C188" s="307">
        <v>0</v>
      </c>
      <c r="D188" s="307">
        <v>1</v>
      </c>
      <c r="E188" s="307">
        <v>1</v>
      </c>
      <c r="F188" s="363">
        <v>5.2599327942748533E-2</v>
      </c>
      <c r="G188" s="363">
        <v>0.11930994801623618</v>
      </c>
    </row>
    <row r="189" spans="1:7" ht="14.25" customHeight="1" x14ac:dyDescent="0.2">
      <c r="A189" s="307" t="s">
        <v>455</v>
      </c>
      <c r="B189" s="307">
        <v>2019</v>
      </c>
      <c r="C189" s="307">
        <v>0</v>
      </c>
      <c r="D189" s="307">
        <v>1</v>
      </c>
      <c r="E189" s="307">
        <v>1</v>
      </c>
      <c r="F189" s="363">
        <v>4.9312116173214154E-2</v>
      </c>
      <c r="G189" s="363">
        <v>3.3454763492528905E-2</v>
      </c>
    </row>
    <row r="190" spans="1:7" ht="14.25" customHeight="1" x14ac:dyDescent="0.2">
      <c r="A190" s="307" t="s">
        <v>459</v>
      </c>
      <c r="B190" s="307">
        <v>2017</v>
      </c>
      <c r="C190" s="307">
        <v>0</v>
      </c>
      <c r="D190" s="307">
        <v>1</v>
      </c>
      <c r="E190" s="307">
        <v>0</v>
      </c>
      <c r="F190" s="363">
        <v>-1.4465821366318502E-2</v>
      </c>
      <c r="G190" s="363">
        <v>0</v>
      </c>
    </row>
    <row r="191" spans="1:7" ht="14.25" customHeight="1" x14ac:dyDescent="0.2">
      <c r="A191" s="307" t="s">
        <v>459</v>
      </c>
      <c r="B191" s="307">
        <v>2018</v>
      </c>
      <c r="C191" s="307">
        <v>0</v>
      </c>
      <c r="D191" s="307">
        <v>1</v>
      </c>
      <c r="E191" s="307">
        <v>0</v>
      </c>
      <c r="F191" s="363">
        <v>0.13649893623732579</v>
      </c>
      <c r="G191" s="363">
        <v>0.51987927280915236</v>
      </c>
    </row>
    <row r="192" spans="1:7" ht="14.25" customHeight="1" x14ac:dyDescent="0.2">
      <c r="A192" s="307" t="s">
        <v>459</v>
      </c>
      <c r="B192" s="307">
        <v>2019</v>
      </c>
      <c r="C192" s="307">
        <v>0</v>
      </c>
      <c r="D192" s="307">
        <v>1</v>
      </c>
      <c r="E192" s="307">
        <v>0</v>
      </c>
      <c r="F192" s="363">
        <v>-7.2363449334210919E-2</v>
      </c>
      <c r="G192" s="363">
        <v>0.20089709717754717</v>
      </c>
    </row>
    <row r="193" spans="1:7" ht="14.25" customHeight="1" x14ac:dyDescent="0.2">
      <c r="A193" s="307" t="s">
        <v>276</v>
      </c>
      <c r="B193" s="307">
        <v>2017</v>
      </c>
      <c r="C193" s="307">
        <v>1</v>
      </c>
      <c r="D193" s="307">
        <v>1</v>
      </c>
      <c r="E193" s="307">
        <v>0</v>
      </c>
      <c r="F193" s="363">
        <v>0.24198711144816112</v>
      </c>
      <c r="G193" s="363">
        <v>0.48245333756608083</v>
      </c>
    </row>
    <row r="194" spans="1:7" ht="14.25" customHeight="1" x14ac:dyDescent="0.2">
      <c r="A194" s="307" t="s">
        <v>276</v>
      </c>
      <c r="B194" s="307">
        <v>2018</v>
      </c>
      <c r="C194" s="307">
        <v>1</v>
      </c>
      <c r="D194" s="307">
        <v>1</v>
      </c>
      <c r="E194" s="307">
        <v>0</v>
      </c>
      <c r="F194" s="363">
        <v>-0.22677687548841149</v>
      </c>
      <c r="G194" s="363">
        <v>-0.25435369355779125</v>
      </c>
    </row>
    <row r="195" spans="1:7" ht="14.25" customHeight="1" x14ac:dyDescent="0.2">
      <c r="A195" s="307" t="s">
        <v>276</v>
      </c>
      <c r="B195" s="307">
        <v>2019</v>
      </c>
      <c r="C195" s="307">
        <v>1</v>
      </c>
      <c r="D195" s="307">
        <v>1</v>
      </c>
      <c r="E195" s="307">
        <v>0</v>
      </c>
      <c r="F195" s="363">
        <v>0.12869661991280643</v>
      </c>
      <c r="G195" s="363">
        <v>0.26217512574101037</v>
      </c>
    </row>
    <row r="196" spans="1:7" ht="14.25" customHeight="1" x14ac:dyDescent="0.2">
      <c r="A196" s="307" t="s">
        <v>372</v>
      </c>
      <c r="B196" s="307">
        <v>2017</v>
      </c>
      <c r="C196" s="307">
        <v>0</v>
      </c>
      <c r="D196" s="307">
        <v>1</v>
      </c>
      <c r="E196" s="307">
        <v>1</v>
      </c>
      <c r="F196" s="363">
        <v>0.23740132605236663</v>
      </c>
      <c r="G196" s="363">
        <v>0.16460206322243859</v>
      </c>
    </row>
    <row r="197" spans="1:7" ht="14.25" customHeight="1" x14ac:dyDescent="0.2">
      <c r="A197" s="307" t="s">
        <v>372</v>
      </c>
      <c r="B197" s="307">
        <v>2018</v>
      </c>
      <c r="C197" s="307">
        <v>0</v>
      </c>
      <c r="D197" s="307">
        <v>1</v>
      </c>
      <c r="E197" s="307">
        <v>1</v>
      </c>
      <c r="F197" s="363">
        <v>-0.99873018862245055</v>
      </c>
      <c r="G197" s="363">
        <v>0.29740882995837903</v>
      </c>
    </row>
    <row r="198" spans="1:7" ht="14.25" customHeight="1" x14ac:dyDescent="0.2">
      <c r="A198" s="307" t="s">
        <v>372</v>
      </c>
      <c r="B198" s="307">
        <v>2019</v>
      </c>
      <c r="C198" s="307">
        <v>0</v>
      </c>
      <c r="D198" s="307">
        <v>1</v>
      </c>
      <c r="E198" s="307">
        <v>0</v>
      </c>
      <c r="F198" s="363">
        <v>824.12716022855568</v>
      </c>
      <c r="G198" s="363">
        <v>0.57409499220052718</v>
      </c>
    </row>
    <row r="199" spans="1:7" ht="14.25" customHeight="1" x14ac:dyDescent="0.2">
      <c r="A199" s="307" t="s">
        <v>465</v>
      </c>
      <c r="B199" s="307">
        <v>2017</v>
      </c>
      <c r="C199" s="307">
        <v>1</v>
      </c>
      <c r="D199" s="307">
        <v>1</v>
      </c>
      <c r="E199" s="307">
        <v>1</v>
      </c>
      <c r="F199" s="363">
        <v>9.3831020669681575E-2</v>
      </c>
      <c r="G199" s="363">
        <v>0.38772775976031187</v>
      </c>
    </row>
    <row r="200" spans="1:7" ht="14.25" customHeight="1" x14ac:dyDescent="0.2">
      <c r="A200" s="307" t="s">
        <v>465</v>
      </c>
      <c r="B200" s="307">
        <v>2018</v>
      </c>
      <c r="C200" s="307">
        <v>1</v>
      </c>
      <c r="D200" s="307">
        <v>1</v>
      </c>
      <c r="E200" s="307">
        <v>1</v>
      </c>
      <c r="F200" s="363">
        <v>0.14898231538973758</v>
      </c>
      <c r="G200" s="363">
        <v>2.273177301655413E-2</v>
      </c>
    </row>
    <row r="201" spans="1:7" ht="14.25" customHeight="1" x14ac:dyDescent="0.2">
      <c r="A201" s="307" t="s">
        <v>465</v>
      </c>
      <c r="B201" s="307">
        <v>2019</v>
      </c>
      <c r="C201" s="307">
        <v>1</v>
      </c>
      <c r="D201" s="307">
        <v>1</v>
      </c>
      <c r="E201" s="307">
        <v>1</v>
      </c>
      <c r="F201" s="363">
        <v>8.0251633458006386E-2</v>
      </c>
      <c r="G201" s="363">
        <v>3.2992610395339614E-2</v>
      </c>
    </row>
    <row r="202" spans="1:7" ht="14.25" customHeight="1" x14ac:dyDescent="0.2">
      <c r="A202" s="307" t="s">
        <v>649</v>
      </c>
      <c r="B202" s="307">
        <v>2017</v>
      </c>
      <c r="C202" s="307">
        <v>0</v>
      </c>
      <c r="D202" s="307">
        <v>1</v>
      </c>
      <c r="E202" s="307">
        <v>1</v>
      </c>
      <c r="F202" s="363">
        <v>-3.342063763069094E-2</v>
      </c>
      <c r="G202" s="363">
        <v>0</v>
      </c>
    </row>
    <row r="203" spans="1:7" ht="14.25" customHeight="1" x14ac:dyDescent="0.2">
      <c r="A203" s="307" t="s">
        <v>649</v>
      </c>
      <c r="B203" s="307">
        <v>2018</v>
      </c>
      <c r="C203" s="307">
        <v>0</v>
      </c>
      <c r="D203" s="307">
        <v>1</v>
      </c>
      <c r="E203" s="307">
        <v>1</v>
      </c>
      <c r="F203" s="363">
        <v>0.14720559845529033</v>
      </c>
      <c r="G203" s="363">
        <v>0.19426142537065183</v>
      </c>
    </row>
    <row r="204" spans="1:7" ht="14.25" customHeight="1" x14ac:dyDescent="0.2">
      <c r="A204" s="307" t="s">
        <v>649</v>
      </c>
      <c r="B204" s="307">
        <v>2019</v>
      </c>
      <c r="C204" s="307">
        <v>0</v>
      </c>
      <c r="D204" s="307">
        <v>1</v>
      </c>
      <c r="E204" s="307">
        <v>1</v>
      </c>
      <c r="F204" s="363">
        <v>6.0799220017181722E-2</v>
      </c>
      <c r="G204" s="363">
        <v>0.29254268803232025</v>
      </c>
    </row>
    <row r="205" spans="1:7" ht="14.25" customHeight="1" x14ac:dyDescent="0.2">
      <c r="A205" s="307" t="s">
        <v>557</v>
      </c>
      <c r="B205" s="307">
        <v>2017</v>
      </c>
      <c r="C205" s="307">
        <v>1</v>
      </c>
      <c r="D205" s="307">
        <v>1</v>
      </c>
      <c r="E205" s="307">
        <v>0</v>
      </c>
      <c r="F205" s="363">
        <v>0.1331729584712231</v>
      </c>
      <c r="G205" s="363">
        <v>0.23188619477728337</v>
      </c>
    </row>
    <row r="206" spans="1:7" ht="14.25" customHeight="1" x14ac:dyDescent="0.2">
      <c r="A206" s="307" t="s">
        <v>557</v>
      </c>
      <c r="B206" s="307">
        <v>2018</v>
      </c>
      <c r="C206" s="307">
        <v>1</v>
      </c>
      <c r="D206" s="307">
        <v>1</v>
      </c>
      <c r="E206" s="307">
        <v>0</v>
      </c>
      <c r="F206" s="363">
        <v>0.3305084026102556</v>
      </c>
      <c r="G206" s="363">
        <v>0.1608330470988065</v>
      </c>
    </row>
    <row r="207" spans="1:7" ht="14.25" customHeight="1" x14ac:dyDescent="0.2">
      <c r="A207" s="307" t="s">
        <v>557</v>
      </c>
      <c r="B207" s="307">
        <v>2019</v>
      </c>
      <c r="C207" s="307">
        <v>1</v>
      </c>
      <c r="D207" s="307">
        <v>1</v>
      </c>
      <c r="E207" s="307">
        <v>1</v>
      </c>
      <c r="F207" s="363">
        <v>6.1467383638402859E-2</v>
      </c>
      <c r="G207" s="363">
        <v>0.17093818574834263</v>
      </c>
    </row>
    <row r="208" spans="1:7" ht="14.25" customHeight="1" x14ac:dyDescent="0.2">
      <c r="A208" s="307" t="s">
        <v>181</v>
      </c>
      <c r="B208" s="307">
        <v>2017</v>
      </c>
      <c r="C208" s="307">
        <v>0</v>
      </c>
      <c r="D208" s="307">
        <v>1</v>
      </c>
      <c r="E208" s="307">
        <v>0</v>
      </c>
      <c r="F208" s="363">
        <v>0.14119945464206338</v>
      </c>
      <c r="G208" s="363">
        <v>0.11667046781365396</v>
      </c>
    </row>
    <row r="209" spans="1:7" ht="14.25" customHeight="1" x14ac:dyDescent="0.2">
      <c r="A209" s="307" t="s">
        <v>181</v>
      </c>
      <c r="B209" s="307">
        <v>2018</v>
      </c>
      <c r="C209" s="307">
        <v>0</v>
      </c>
      <c r="D209" s="307">
        <v>1</v>
      </c>
      <c r="E209" s="307">
        <v>1</v>
      </c>
      <c r="F209" s="363">
        <v>-0.2336429951664693</v>
      </c>
      <c r="G209" s="363">
        <v>-0.89445711721316457</v>
      </c>
    </row>
    <row r="210" spans="1:7" ht="14.25" customHeight="1" x14ac:dyDescent="0.2">
      <c r="A210" s="307" t="s">
        <v>181</v>
      </c>
      <c r="B210" s="307">
        <v>2019</v>
      </c>
      <c r="C210" s="307">
        <v>0</v>
      </c>
      <c r="D210" s="307">
        <v>1</v>
      </c>
      <c r="E210" s="307">
        <v>1</v>
      </c>
      <c r="F210" s="363">
        <v>4.7691398338561342E-2</v>
      </c>
      <c r="G210" s="363">
        <v>-0.11284190658489439</v>
      </c>
    </row>
    <row r="211" spans="1:7" ht="14.25" customHeight="1" x14ac:dyDescent="0.2">
      <c r="A211" s="307" t="s">
        <v>657</v>
      </c>
      <c r="B211" s="307">
        <v>2017</v>
      </c>
      <c r="C211" s="307">
        <v>1</v>
      </c>
      <c r="D211" s="307">
        <v>1</v>
      </c>
      <c r="E211" s="307">
        <v>1</v>
      </c>
      <c r="F211" s="363">
        <v>2.1748171348454078E-2</v>
      </c>
      <c r="G211" s="363">
        <v>0.74182402531576297</v>
      </c>
    </row>
    <row r="212" spans="1:7" ht="14.25" customHeight="1" x14ac:dyDescent="0.2">
      <c r="A212" s="307" t="s">
        <v>657</v>
      </c>
      <c r="B212" s="307">
        <v>2018</v>
      </c>
      <c r="C212" s="307">
        <v>1</v>
      </c>
      <c r="D212" s="307">
        <v>1</v>
      </c>
      <c r="E212" s="307">
        <v>1</v>
      </c>
      <c r="F212" s="363">
        <v>-9.4461266986062664E-2</v>
      </c>
      <c r="G212" s="363">
        <v>0.97974232427721086</v>
      </c>
    </row>
    <row r="213" spans="1:7" ht="14.25" customHeight="1" x14ac:dyDescent="0.2">
      <c r="A213" s="307" t="s">
        <v>657</v>
      </c>
      <c r="B213" s="307">
        <v>2019</v>
      </c>
      <c r="C213" s="307">
        <v>1</v>
      </c>
      <c r="D213" s="307">
        <v>1</v>
      </c>
      <c r="E213" s="307">
        <v>1</v>
      </c>
      <c r="F213" s="363">
        <v>-0.16885988887458173</v>
      </c>
      <c r="G213" s="363">
        <v>0.41809191007095159</v>
      </c>
    </row>
    <row r="214" spans="1:7" ht="14.25" customHeight="1" x14ac:dyDescent="0.2">
      <c r="A214" s="307" t="s">
        <v>190</v>
      </c>
      <c r="B214" s="307">
        <v>2017</v>
      </c>
      <c r="C214" s="307">
        <v>1</v>
      </c>
      <c r="D214" s="307">
        <v>1</v>
      </c>
      <c r="E214" s="307">
        <v>1</v>
      </c>
      <c r="F214" s="363">
        <v>-9.5158532922338057E-2</v>
      </c>
      <c r="G214" s="363">
        <v>0.38621542298714434</v>
      </c>
    </row>
    <row r="215" spans="1:7" ht="14.25" customHeight="1" x14ac:dyDescent="0.2">
      <c r="A215" s="307" t="s">
        <v>190</v>
      </c>
      <c r="B215" s="307">
        <v>2018</v>
      </c>
      <c r="C215" s="307">
        <v>1</v>
      </c>
      <c r="D215" s="307">
        <v>1</v>
      </c>
      <c r="E215" s="307">
        <v>1</v>
      </c>
      <c r="F215" s="363">
        <v>0.14271071053375822</v>
      </c>
      <c r="G215" s="363">
        <v>0.17245671367662793</v>
      </c>
    </row>
    <row r="216" spans="1:7" ht="14.25" customHeight="1" x14ac:dyDescent="0.2">
      <c r="A216" s="307" t="s">
        <v>190</v>
      </c>
      <c r="B216" s="307">
        <v>2019</v>
      </c>
      <c r="C216" s="307">
        <v>1</v>
      </c>
      <c r="D216" s="307">
        <v>1</v>
      </c>
      <c r="E216" s="307">
        <v>1</v>
      </c>
      <c r="F216" s="363">
        <v>-0.87045224314459402</v>
      </c>
      <c r="G216" s="363">
        <v>0.17104428140252526</v>
      </c>
    </row>
    <row r="217" spans="1:7" ht="14.25" customHeight="1" x14ac:dyDescent="0.2">
      <c r="A217" s="307" t="s">
        <v>184</v>
      </c>
      <c r="B217" s="307">
        <v>2017</v>
      </c>
      <c r="C217" s="307">
        <v>1</v>
      </c>
      <c r="D217" s="307">
        <v>1</v>
      </c>
      <c r="E217" s="307">
        <v>1</v>
      </c>
      <c r="F217" s="363">
        <v>4.1699162711697095E-2</v>
      </c>
      <c r="G217" s="363">
        <v>0.24136730361301958</v>
      </c>
    </row>
    <row r="218" spans="1:7" ht="14.25" customHeight="1" x14ac:dyDescent="0.2">
      <c r="A218" s="307" t="s">
        <v>184</v>
      </c>
      <c r="B218" s="307">
        <v>2018</v>
      </c>
      <c r="C218" s="307">
        <v>1</v>
      </c>
      <c r="D218" s="307">
        <v>1</v>
      </c>
      <c r="E218" s="307">
        <v>1</v>
      </c>
      <c r="F218" s="363">
        <v>4.4206753901247613E-2</v>
      </c>
      <c r="G218" s="363">
        <v>0.25348018921322873</v>
      </c>
    </row>
    <row r="219" spans="1:7" ht="14.25" customHeight="1" x14ac:dyDescent="0.2">
      <c r="A219" s="307" t="s">
        <v>184</v>
      </c>
      <c r="B219" s="307">
        <v>2019</v>
      </c>
      <c r="C219" s="307">
        <v>1</v>
      </c>
      <c r="D219" s="307">
        <v>1</v>
      </c>
      <c r="E219" s="307">
        <v>1</v>
      </c>
      <c r="F219" s="363">
        <v>7.3984413116517406E-2</v>
      </c>
      <c r="G219" s="363">
        <v>0.24672465977453115</v>
      </c>
    </row>
    <row r="220" spans="1:7" ht="14.25" customHeight="1" x14ac:dyDescent="0.2">
      <c r="A220" s="307" t="s">
        <v>786</v>
      </c>
      <c r="B220" s="307">
        <v>2017</v>
      </c>
      <c r="C220" s="307">
        <v>1</v>
      </c>
      <c r="D220" s="307">
        <v>1</v>
      </c>
      <c r="E220" s="307">
        <v>1</v>
      </c>
      <c r="F220" s="363">
        <v>4.6587326541764478</v>
      </c>
      <c r="G220" s="363">
        <v>7.3575559166868407E-2</v>
      </c>
    </row>
    <row r="221" spans="1:7" ht="14.25" customHeight="1" x14ac:dyDescent="0.2">
      <c r="A221" s="307" t="s">
        <v>786</v>
      </c>
      <c r="B221" s="307">
        <v>2018</v>
      </c>
      <c r="C221" s="307">
        <v>1</v>
      </c>
      <c r="D221" s="307">
        <v>1</v>
      </c>
      <c r="E221" s="307">
        <v>1</v>
      </c>
      <c r="F221" s="363">
        <v>3.5951755617090799</v>
      </c>
      <c r="G221" s="363">
        <v>1.9799981889565086E-2</v>
      </c>
    </row>
    <row r="222" spans="1:7" ht="14.25" customHeight="1" x14ac:dyDescent="0.2">
      <c r="A222" s="307" t="s">
        <v>786</v>
      </c>
      <c r="B222" s="307">
        <v>2019</v>
      </c>
      <c r="C222" s="307">
        <v>1</v>
      </c>
      <c r="D222" s="307">
        <v>1</v>
      </c>
      <c r="E222" s="307">
        <v>1</v>
      </c>
      <c r="F222" s="363">
        <v>0.61044986598760198</v>
      </c>
      <c r="G222" s="363">
        <v>0.14462398632136969</v>
      </c>
    </row>
    <row r="223" spans="1:7" ht="14.25" customHeight="1" x14ac:dyDescent="0.2">
      <c r="A223" s="307" t="s">
        <v>789</v>
      </c>
      <c r="B223" s="307">
        <v>2017</v>
      </c>
      <c r="C223" s="307">
        <v>1</v>
      </c>
      <c r="D223" s="307">
        <v>0</v>
      </c>
      <c r="E223" s="307">
        <v>1</v>
      </c>
      <c r="F223" s="363">
        <v>0.15060079663904574</v>
      </c>
      <c r="G223" s="363">
        <v>0.26255598501143407</v>
      </c>
    </row>
    <row r="224" spans="1:7" ht="14.25" customHeight="1" x14ac:dyDescent="0.2">
      <c r="A224" s="307" t="s">
        <v>789</v>
      </c>
      <c r="B224" s="307">
        <v>2018</v>
      </c>
      <c r="C224" s="307">
        <v>1</v>
      </c>
      <c r="D224" s="307">
        <v>0</v>
      </c>
      <c r="E224" s="307">
        <v>1</v>
      </c>
      <c r="F224" s="363">
        <v>9.688090236712503E-2</v>
      </c>
      <c r="G224" s="363">
        <v>0.33442957404577972</v>
      </c>
    </row>
    <row r="225" spans="1:7" ht="14.25" customHeight="1" x14ac:dyDescent="0.2">
      <c r="A225" s="307" t="s">
        <v>789</v>
      </c>
      <c r="B225" s="307">
        <v>2019</v>
      </c>
      <c r="C225" s="307">
        <v>1</v>
      </c>
      <c r="D225" s="307">
        <v>1</v>
      </c>
      <c r="E225" s="307">
        <v>1</v>
      </c>
      <c r="F225" s="363">
        <v>7.2144243426875698E-3</v>
      </c>
      <c r="G225" s="363">
        <v>0.26357345399163273</v>
      </c>
    </row>
    <row r="226" spans="1:7" ht="14.25" customHeight="1" x14ac:dyDescent="0.2">
      <c r="A226" s="307" t="s">
        <v>471</v>
      </c>
      <c r="B226" s="307">
        <v>2017</v>
      </c>
      <c r="C226" s="307">
        <v>0</v>
      </c>
      <c r="D226" s="307">
        <v>1</v>
      </c>
      <c r="E226" s="307">
        <v>1</v>
      </c>
      <c r="F226" s="363">
        <v>-7.7666828401993376E-2</v>
      </c>
      <c r="G226" s="363">
        <v>0.61610822539813359</v>
      </c>
    </row>
    <row r="227" spans="1:7" ht="14.25" customHeight="1" x14ac:dyDescent="0.2">
      <c r="A227" s="307" t="s">
        <v>471</v>
      </c>
      <c r="B227" s="307">
        <v>2018</v>
      </c>
      <c r="C227" s="307">
        <v>0</v>
      </c>
      <c r="D227" s="307">
        <v>1</v>
      </c>
      <c r="E227" s="307">
        <v>1</v>
      </c>
      <c r="F227" s="363">
        <v>0.2128670761566078</v>
      </c>
      <c r="G227" s="363">
        <v>0.33376892853208889</v>
      </c>
    </row>
    <row r="228" spans="1:7" ht="14.25" customHeight="1" x14ac:dyDescent="0.2">
      <c r="A228" s="307" t="s">
        <v>471</v>
      </c>
      <c r="B228" s="307">
        <v>2019</v>
      </c>
      <c r="C228" s="307">
        <v>0</v>
      </c>
      <c r="D228" s="307">
        <v>1</v>
      </c>
      <c r="E228" s="307">
        <v>1</v>
      </c>
      <c r="F228" s="363">
        <v>-0.12175415575896736</v>
      </c>
      <c r="G228" s="363">
        <v>1.2375502485383734</v>
      </c>
    </row>
    <row r="229" spans="1:7" ht="14.25" customHeight="1" x14ac:dyDescent="0.2">
      <c r="A229" s="307" t="s">
        <v>662</v>
      </c>
      <c r="B229" s="307">
        <v>2017</v>
      </c>
      <c r="C229" s="307">
        <v>1</v>
      </c>
      <c r="D229" s="307">
        <v>1</v>
      </c>
      <c r="E229" s="307">
        <v>1</v>
      </c>
      <c r="F229" s="363">
        <v>-1.8211456593199331E-2</v>
      </c>
      <c r="G229" s="363">
        <v>0.34114952672108584</v>
      </c>
    </row>
    <row r="230" spans="1:7" ht="14.25" customHeight="1" x14ac:dyDescent="0.2">
      <c r="A230" s="307" t="s">
        <v>662</v>
      </c>
      <c r="B230" s="307">
        <v>2018</v>
      </c>
      <c r="C230" s="307">
        <v>1</v>
      </c>
      <c r="D230" s="307">
        <v>1</v>
      </c>
      <c r="E230" s="307">
        <v>1</v>
      </c>
      <c r="F230" s="363">
        <v>0.45753483304563081</v>
      </c>
      <c r="G230" s="363">
        <v>4.8885019168257736E-2</v>
      </c>
    </row>
    <row r="231" spans="1:7" ht="14.25" customHeight="1" x14ac:dyDescent="0.2">
      <c r="A231" s="307" t="s">
        <v>662</v>
      </c>
      <c r="B231" s="307">
        <v>2019</v>
      </c>
      <c r="C231" s="307">
        <v>1</v>
      </c>
      <c r="D231" s="307">
        <v>1</v>
      </c>
      <c r="E231" s="307">
        <v>0</v>
      </c>
      <c r="F231" s="363">
        <v>-0.21933710915876167</v>
      </c>
      <c r="G231" s="363">
        <v>0.13768639309673616</v>
      </c>
    </row>
    <row r="232" spans="1:7" ht="14.25" customHeight="1" x14ac:dyDescent="0.2">
      <c r="A232" s="307" t="s">
        <v>665</v>
      </c>
      <c r="B232" s="307">
        <v>2017</v>
      </c>
      <c r="C232" s="307">
        <v>1</v>
      </c>
      <c r="D232" s="307">
        <v>1</v>
      </c>
      <c r="E232" s="307">
        <v>1</v>
      </c>
      <c r="F232" s="363">
        <v>1.4296247907064063E-2</v>
      </c>
      <c r="G232" s="363">
        <v>0.49156605653702373</v>
      </c>
    </row>
    <row r="233" spans="1:7" ht="14.25" customHeight="1" x14ac:dyDescent="0.2">
      <c r="A233" s="307" t="s">
        <v>665</v>
      </c>
      <c r="B233" s="307">
        <v>2018</v>
      </c>
      <c r="C233" s="307">
        <v>1</v>
      </c>
      <c r="D233" s="307">
        <v>1</v>
      </c>
      <c r="E233" s="307">
        <v>1</v>
      </c>
      <c r="F233" s="363">
        <v>3.4127621497638067E-2</v>
      </c>
      <c r="G233" s="363">
        <v>0.24986833578863829</v>
      </c>
    </row>
    <row r="234" spans="1:7" ht="14.25" customHeight="1" x14ac:dyDescent="0.2">
      <c r="A234" s="307" t="s">
        <v>665</v>
      </c>
      <c r="B234" s="307">
        <v>2019</v>
      </c>
      <c r="C234" s="307">
        <v>1</v>
      </c>
      <c r="D234" s="307">
        <v>1</v>
      </c>
      <c r="E234" s="307">
        <v>1</v>
      </c>
      <c r="F234" s="363">
        <v>8.001352370226604E-2</v>
      </c>
      <c r="G234" s="363">
        <v>-0.26406725855697388</v>
      </c>
    </row>
    <row r="235" spans="1:7" ht="14.25" customHeight="1" x14ac:dyDescent="0.2">
      <c r="A235" s="307" t="s">
        <v>106</v>
      </c>
      <c r="B235" s="307">
        <v>2017</v>
      </c>
      <c r="C235" s="307">
        <v>0</v>
      </c>
      <c r="D235" s="307">
        <v>1</v>
      </c>
      <c r="E235" s="307">
        <v>1</v>
      </c>
      <c r="F235" s="363">
        <v>0.23140062203895398</v>
      </c>
      <c r="G235" s="363">
        <v>0.26850659288675816</v>
      </c>
    </row>
    <row r="236" spans="1:7" ht="14.25" customHeight="1" x14ac:dyDescent="0.2">
      <c r="A236" s="307" t="s">
        <v>106</v>
      </c>
      <c r="B236" s="307">
        <v>2018</v>
      </c>
      <c r="C236" s="307">
        <v>0</v>
      </c>
      <c r="D236" s="307">
        <v>1</v>
      </c>
      <c r="E236" s="307">
        <v>0</v>
      </c>
      <c r="F236" s="363">
        <v>-0.15157717714269794</v>
      </c>
      <c r="G236" s="363">
        <v>0.48692009629494643</v>
      </c>
    </row>
    <row r="237" spans="1:7" ht="14.25" customHeight="1" x14ac:dyDescent="0.2">
      <c r="A237" s="307" t="s">
        <v>106</v>
      </c>
      <c r="B237" s="307">
        <v>2019</v>
      </c>
      <c r="C237" s="307">
        <v>0</v>
      </c>
      <c r="D237" s="307">
        <v>1</v>
      </c>
      <c r="E237" s="307">
        <v>1</v>
      </c>
      <c r="F237" s="363">
        <v>-7.9706287255780439E-2</v>
      </c>
      <c r="G237" s="363">
        <v>0.13413731810411547</v>
      </c>
    </row>
    <row r="238" spans="1:7" ht="14.25" customHeight="1" x14ac:dyDescent="0.2">
      <c r="A238" s="307" t="s">
        <v>794</v>
      </c>
      <c r="B238" s="307">
        <v>2017</v>
      </c>
      <c r="C238" s="307">
        <v>1</v>
      </c>
      <c r="D238" s="307">
        <v>1</v>
      </c>
      <c r="E238" s="307">
        <v>1</v>
      </c>
      <c r="F238" s="363">
        <v>2.4660571354726154E-2</v>
      </c>
      <c r="G238" s="363">
        <v>0.22898876051739295</v>
      </c>
    </row>
    <row r="239" spans="1:7" ht="14.25" customHeight="1" x14ac:dyDescent="0.2">
      <c r="A239" s="307" t="s">
        <v>794</v>
      </c>
      <c r="B239" s="307">
        <v>2018</v>
      </c>
      <c r="C239" s="307">
        <v>1</v>
      </c>
      <c r="D239" s="307">
        <v>1</v>
      </c>
      <c r="E239" s="307">
        <v>1</v>
      </c>
      <c r="F239" s="363">
        <v>7.2693086083383193E-2</v>
      </c>
      <c r="G239" s="363">
        <v>0.10869864134882959</v>
      </c>
    </row>
    <row r="240" spans="1:7" ht="14.25" customHeight="1" x14ac:dyDescent="0.2">
      <c r="A240" s="307" t="s">
        <v>794</v>
      </c>
      <c r="B240" s="307">
        <v>2019</v>
      </c>
      <c r="C240" s="307">
        <v>1</v>
      </c>
      <c r="D240" s="307">
        <v>1</v>
      </c>
      <c r="E240" s="307">
        <v>1</v>
      </c>
      <c r="F240" s="363">
        <v>-7.655755470965632E-2</v>
      </c>
      <c r="G240" s="363">
        <v>6.0698931314889775E-3</v>
      </c>
    </row>
    <row r="241" spans="1:7" ht="14.25" customHeight="1" x14ac:dyDescent="0.2">
      <c r="A241" s="307" t="s">
        <v>475</v>
      </c>
      <c r="B241" s="307">
        <v>2017</v>
      </c>
      <c r="C241" s="307">
        <v>0</v>
      </c>
      <c r="D241" s="307">
        <v>1</v>
      </c>
      <c r="E241" s="307">
        <v>1</v>
      </c>
      <c r="F241" s="363">
        <v>3.8890093230861421E-2</v>
      </c>
      <c r="G241" s="363">
        <v>0</v>
      </c>
    </row>
    <row r="242" spans="1:7" ht="14.25" customHeight="1" x14ac:dyDescent="0.2">
      <c r="A242" s="307" t="s">
        <v>475</v>
      </c>
      <c r="B242" s="307">
        <v>2018</v>
      </c>
      <c r="C242" s="307">
        <v>0</v>
      </c>
      <c r="D242" s="307">
        <v>1</v>
      </c>
      <c r="E242" s="307">
        <v>1</v>
      </c>
      <c r="F242" s="363">
        <v>0.23238465613299752</v>
      </c>
      <c r="G242" s="363">
        <v>0.14900559742361533</v>
      </c>
    </row>
    <row r="243" spans="1:7" ht="14.25" customHeight="1" x14ac:dyDescent="0.2">
      <c r="A243" s="307" t="s">
        <v>475</v>
      </c>
      <c r="B243" s="307">
        <v>2019</v>
      </c>
      <c r="C243" s="307">
        <v>0</v>
      </c>
      <c r="D243" s="307">
        <v>1</v>
      </c>
      <c r="E243" s="307">
        <v>1</v>
      </c>
      <c r="F243" s="363">
        <v>0.11169688773734911</v>
      </c>
      <c r="G243" s="363">
        <v>0.68968387089409122</v>
      </c>
    </row>
    <row r="244" spans="1:7" ht="14.25" customHeight="1" x14ac:dyDescent="0.2">
      <c r="A244" s="307" t="s">
        <v>800</v>
      </c>
      <c r="B244" s="307">
        <v>2017</v>
      </c>
      <c r="C244" s="307">
        <v>1</v>
      </c>
      <c r="D244" s="307">
        <v>1</v>
      </c>
      <c r="E244" s="307">
        <v>1</v>
      </c>
      <c r="F244" s="363">
        <v>0.15237991821991584</v>
      </c>
      <c r="G244" s="363">
        <v>0.45887922950917776</v>
      </c>
    </row>
    <row r="245" spans="1:7" ht="14.25" customHeight="1" x14ac:dyDescent="0.2">
      <c r="A245" s="307" t="s">
        <v>800</v>
      </c>
      <c r="B245" s="307">
        <v>2018</v>
      </c>
      <c r="C245" s="307">
        <v>1</v>
      </c>
      <c r="D245" s="307">
        <v>1</v>
      </c>
      <c r="E245" s="307">
        <v>1</v>
      </c>
      <c r="F245" s="363">
        <v>0.16039698368011954</v>
      </c>
      <c r="G245" s="363">
        <v>0.42004760456001577</v>
      </c>
    </row>
    <row r="246" spans="1:7" ht="14.25" customHeight="1" x14ac:dyDescent="0.2">
      <c r="A246" s="307" t="s">
        <v>800</v>
      </c>
      <c r="B246" s="307">
        <v>2019</v>
      </c>
      <c r="C246" s="307">
        <v>1</v>
      </c>
      <c r="D246" s="307">
        <v>1</v>
      </c>
      <c r="E246" s="307">
        <v>1</v>
      </c>
      <c r="F246" s="363">
        <v>0.14045794216336949</v>
      </c>
      <c r="G246" s="363">
        <v>0.26780219279951673</v>
      </c>
    </row>
    <row r="247" spans="1:7" ht="14.25" customHeight="1" x14ac:dyDescent="0.2">
      <c r="A247" s="307" t="s">
        <v>479</v>
      </c>
      <c r="B247" s="307">
        <v>2017</v>
      </c>
      <c r="C247" s="307">
        <v>0</v>
      </c>
      <c r="D247" s="307">
        <v>1</v>
      </c>
      <c r="E247" s="307">
        <v>1</v>
      </c>
      <c r="F247" s="363">
        <v>0.1571355592678762</v>
      </c>
      <c r="G247" s="363">
        <v>0.20028600293658727</v>
      </c>
    </row>
    <row r="248" spans="1:7" ht="14.25" customHeight="1" x14ac:dyDescent="0.2">
      <c r="A248" s="307" t="s">
        <v>479</v>
      </c>
      <c r="B248" s="307">
        <v>2018</v>
      </c>
      <c r="C248" s="307">
        <v>0</v>
      </c>
      <c r="D248" s="307">
        <v>1</v>
      </c>
      <c r="E248" s="307">
        <v>1</v>
      </c>
      <c r="F248" s="363">
        <v>0.35734434652233799</v>
      </c>
      <c r="G248" s="363">
        <v>0.30834139829993951</v>
      </c>
    </row>
    <row r="249" spans="1:7" ht="14.25" customHeight="1" x14ac:dyDescent="0.2">
      <c r="A249" s="307" t="s">
        <v>479</v>
      </c>
      <c r="B249" s="307">
        <v>2019</v>
      </c>
      <c r="C249" s="307">
        <v>0</v>
      </c>
      <c r="D249" s="307">
        <v>1</v>
      </c>
      <c r="E249" s="307">
        <v>1</v>
      </c>
      <c r="F249" s="363">
        <v>0.11083082096473729</v>
      </c>
      <c r="G249" s="363">
        <v>0.34673951085115823</v>
      </c>
    </row>
    <row r="250" spans="1:7" ht="14.25" customHeight="1" x14ac:dyDescent="0.2">
      <c r="A250" s="307" t="s">
        <v>562</v>
      </c>
      <c r="B250" s="307">
        <v>2017</v>
      </c>
      <c r="C250" s="307">
        <v>0</v>
      </c>
      <c r="D250" s="307">
        <v>1</v>
      </c>
      <c r="E250" s="307">
        <v>1</v>
      </c>
      <c r="F250" s="363">
        <v>0.18496378755651172</v>
      </c>
      <c r="G250" s="363">
        <v>-3.1095810365233408E-2</v>
      </c>
    </row>
    <row r="251" spans="1:7" ht="14.25" customHeight="1" x14ac:dyDescent="0.2">
      <c r="A251" s="307" t="s">
        <v>562</v>
      </c>
      <c r="B251" s="307">
        <v>2018</v>
      </c>
      <c r="C251" s="307">
        <v>0</v>
      </c>
      <c r="D251" s="307">
        <v>1</v>
      </c>
      <c r="E251" s="307">
        <v>1</v>
      </c>
      <c r="F251" s="363">
        <v>0.13580002895456453</v>
      </c>
      <c r="G251" s="363">
        <v>-4.9273035571541649E-3</v>
      </c>
    </row>
    <row r="252" spans="1:7" ht="14.25" customHeight="1" x14ac:dyDescent="0.2">
      <c r="A252" s="307" t="s">
        <v>562</v>
      </c>
      <c r="B252" s="307">
        <v>2019</v>
      </c>
      <c r="C252" s="307">
        <v>0</v>
      </c>
      <c r="D252" s="307">
        <v>1</v>
      </c>
      <c r="E252" s="307">
        <v>1</v>
      </c>
      <c r="F252" s="363">
        <v>2.9031094533002476E-2</v>
      </c>
      <c r="G252" s="363">
        <v>6.7095772705548923E-2</v>
      </c>
    </row>
    <row r="253" spans="1:7" ht="14.25" customHeight="1" x14ac:dyDescent="0.2">
      <c r="A253" s="307" t="s">
        <v>292</v>
      </c>
      <c r="B253" s="307">
        <v>2017</v>
      </c>
      <c r="C253" s="307">
        <v>0</v>
      </c>
      <c r="D253" s="307">
        <v>1</v>
      </c>
      <c r="E253" s="307">
        <v>0</v>
      </c>
      <c r="F253" s="363">
        <v>4.2558695926403399E-2</v>
      </c>
      <c r="G253" s="363">
        <v>-9.6103573670554526E-2</v>
      </c>
    </row>
    <row r="254" spans="1:7" ht="14.25" customHeight="1" x14ac:dyDescent="0.2">
      <c r="A254" s="307" t="s">
        <v>292</v>
      </c>
      <c r="B254" s="307">
        <v>2018</v>
      </c>
      <c r="C254" s="307">
        <v>0</v>
      </c>
      <c r="D254" s="307">
        <v>1</v>
      </c>
      <c r="E254" s="307">
        <v>0</v>
      </c>
      <c r="F254" s="363">
        <v>0.21520865039348078</v>
      </c>
      <c r="G254" s="363">
        <v>-5.6975850547033982E-2</v>
      </c>
    </row>
    <row r="255" spans="1:7" ht="14.25" customHeight="1" x14ac:dyDescent="0.2">
      <c r="A255" s="307" t="s">
        <v>292</v>
      </c>
      <c r="B255" s="307">
        <v>2019</v>
      </c>
      <c r="C255" s="307">
        <v>0</v>
      </c>
      <c r="D255" s="307">
        <v>1</v>
      </c>
      <c r="E255" s="307">
        <v>0</v>
      </c>
      <c r="F255" s="363">
        <v>-3.4413793103448276E-2</v>
      </c>
      <c r="G255" s="363">
        <v>0.52944969715203449</v>
      </c>
    </row>
    <row r="256" spans="1:7" ht="14.25" customHeight="1" x14ac:dyDescent="0.2">
      <c r="A256" s="307" t="s">
        <v>188</v>
      </c>
      <c r="B256" s="307">
        <v>2017</v>
      </c>
      <c r="C256" s="307">
        <v>0</v>
      </c>
      <c r="D256" s="307">
        <v>1</v>
      </c>
      <c r="E256" s="307">
        <v>1</v>
      </c>
      <c r="F256" s="363">
        <v>6.7304445038688779E-2</v>
      </c>
      <c r="G256" s="363">
        <v>-0.54680850012776716</v>
      </c>
    </row>
    <row r="257" spans="1:7" ht="14.25" customHeight="1" x14ac:dyDescent="0.2">
      <c r="A257" s="307" t="s">
        <v>188</v>
      </c>
      <c r="B257" s="307">
        <v>2018</v>
      </c>
      <c r="C257" s="307">
        <v>0</v>
      </c>
      <c r="D257" s="307">
        <v>1</v>
      </c>
      <c r="E257" s="307">
        <v>1</v>
      </c>
      <c r="F257" s="363">
        <v>-0.31310377640327064</v>
      </c>
      <c r="G257" s="363">
        <v>-1.3259915447919542E-2</v>
      </c>
    </row>
    <row r="258" spans="1:7" ht="14.25" customHeight="1" x14ac:dyDescent="0.2">
      <c r="A258" s="307" t="s">
        <v>188</v>
      </c>
      <c r="B258" s="307">
        <v>2019</v>
      </c>
      <c r="C258" s="307">
        <v>0</v>
      </c>
      <c r="D258" s="307">
        <v>1</v>
      </c>
      <c r="E258" s="307">
        <v>1</v>
      </c>
      <c r="F258" s="363">
        <v>6.9748567008053014E-2</v>
      </c>
      <c r="G258" s="363">
        <v>0.12762643053524822</v>
      </c>
    </row>
    <row r="259" spans="1:7" ht="14.25" customHeight="1" x14ac:dyDescent="0.2">
      <c r="A259" s="307" t="s">
        <v>654</v>
      </c>
      <c r="B259" s="307">
        <v>2017</v>
      </c>
      <c r="C259" s="307">
        <v>0</v>
      </c>
      <c r="D259" s="307">
        <v>1</v>
      </c>
      <c r="E259" s="307">
        <v>1</v>
      </c>
      <c r="F259" s="363">
        <v>0.29640134343497093</v>
      </c>
      <c r="G259" s="363">
        <v>0.18872897374307454</v>
      </c>
    </row>
    <row r="260" spans="1:7" ht="14.25" customHeight="1" x14ac:dyDescent="0.2">
      <c r="A260" s="307" t="s">
        <v>654</v>
      </c>
      <c r="B260" s="307">
        <v>2018</v>
      </c>
      <c r="C260" s="307">
        <v>1</v>
      </c>
      <c r="D260" s="307">
        <v>1</v>
      </c>
      <c r="E260" s="307">
        <v>1</v>
      </c>
      <c r="F260" s="363">
        <v>-0.33533585435204266</v>
      </c>
      <c r="G260" s="363">
        <v>1.4388128122661088</v>
      </c>
    </row>
    <row r="261" spans="1:7" ht="14.25" customHeight="1" x14ac:dyDescent="0.2">
      <c r="A261" s="307" t="s">
        <v>654</v>
      </c>
      <c r="B261" s="307">
        <v>2019</v>
      </c>
      <c r="C261" s="307">
        <v>1</v>
      </c>
      <c r="D261" s="307">
        <v>1</v>
      </c>
      <c r="E261" s="307">
        <v>1</v>
      </c>
      <c r="F261" s="363">
        <v>0.11725467381208336</v>
      </c>
      <c r="G261" s="363">
        <v>0.25099614776087426</v>
      </c>
    </row>
    <row r="262" spans="1:7" ht="14.25" customHeight="1" x14ac:dyDescent="0.2">
      <c r="A262" s="307" t="s">
        <v>377</v>
      </c>
      <c r="B262" s="307">
        <v>2017</v>
      </c>
      <c r="C262" s="307">
        <v>1</v>
      </c>
      <c r="D262" s="307">
        <v>1</v>
      </c>
      <c r="E262" s="307">
        <v>1</v>
      </c>
      <c r="F262" s="363">
        <v>0.57121959426252944</v>
      </c>
      <c r="G262" s="363">
        <v>0.56516391446028336</v>
      </c>
    </row>
    <row r="263" spans="1:7" ht="14.25" customHeight="1" x14ac:dyDescent="0.2">
      <c r="A263" s="307" t="s">
        <v>377</v>
      </c>
      <c r="B263" s="307">
        <v>2018</v>
      </c>
      <c r="C263" s="307">
        <v>1</v>
      </c>
      <c r="D263" s="307">
        <v>1</v>
      </c>
      <c r="E263" s="307">
        <v>1</v>
      </c>
      <c r="F263" s="363">
        <v>0.40641557343255968</v>
      </c>
      <c r="G263" s="363">
        <v>0.83467321388816529</v>
      </c>
    </row>
    <row r="264" spans="1:7" ht="14.25" customHeight="1" x14ac:dyDescent="0.2">
      <c r="A264" s="307" t="s">
        <v>377</v>
      </c>
      <c r="B264" s="307">
        <v>2019</v>
      </c>
      <c r="C264" s="307">
        <v>1</v>
      </c>
      <c r="D264" s="307">
        <v>1</v>
      </c>
      <c r="E264" s="307">
        <v>1</v>
      </c>
      <c r="F264" s="363">
        <v>0.13998936544940541</v>
      </c>
      <c r="G264" s="363">
        <v>1.1756121500010797</v>
      </c>
    </row>
    <row r="265" spans="1:7" ht="14.25" customHeight="1" x14ac:dyDescent="0.2">
      <c r="A265" s="307" t="s">
        <v>193</v>
      </c>
      <c r="B265" s="307">
        <v>2017</v>
      </c>
      <c r="C265" s="307">
        <v>1</v>
      </c>
      <c r="D265" s="307">
        <v>1</v>
      </c>
      <c r="E265" s="307">
        <v>1</v>
      </c>
      <c r="F265" s="363">
        <v>7.4678728627988758E-2</v>
      </c>
      <c r="G265" s="363">
        <v>0.22073504075222372</v>
      </c>
    </row>
    <row r="266" spans="1:7" ht="14.25" customHeight="1" x14ac:dyDescent="0.2">
      <c r="A266" s="307" t="s">
        <v>193</v>
      </c>
      <c r="B266" s="307">
        <v>2018</v>
      </c>
      <c r="C266" s="307">
        <v>1</v>
      </c>
      <c r="D266" s="307">
        <v>1</v>
      </c>
      <c r="E266" s="307">
        <v>1</v>
      </c>
      <c r="F266" s="363">
        <v>0.47149604937915873</v>
      </c>
      <c r="G266" s="363">
        <v>0.22148085026758926</v>
      </c>
    </row>
    <row r="267" spans="1:7" ht="14.25" customHeight="1" x14ac:dyDescent="0.2">
      <c r="A267" s="307" t="s">
        <v>193</v>
      </c>
      <c r="B267" s="307">
        <v>2019</v>
      </c>
      <c r="C267" s="307">
        <v>1</v>
      </c>
      <c r="D267" s="307">
        <v>1</v>
      </c>
      <c r="E267" s="307">
        <v>1</v>
      </c>
      <c r="F267" s="363">
        <v>3.8213036194182558E-2</v>
      </c>
      <c r="G267" s="363">
        <v>0.22671595887518661</v>
      </c>
    </row>
    <row r="268" spans="1:7" ht="14.25" customHeight="1" x14ac:dyDescent="0.2">
      <c r="A268" s="307" t="s">
        <v>814</v>
      </c>
      <c r="B268" s="307">
        <v>2017</v>
      </c>
      <c r="C268" s="307">
        <v>1</v>
      </c>
      <c r="D268" s="307">
        <v>1</v>
      </c>
      <c r="E268" s="307">
        <v>1</v>
      </c>
      <c r="F268" s="363">
        <v>4.7904424721957911E-2</v>
      </c>
      <c r="G268" s="363">
        <v>0.27927348746714137</v>
      </c>
    </row>
    <row r="269" spans="1:7" ht="14.25" customHeight="1" x14ac:dyDescent="0.2">
      <c r="A269" s="307" t="s">
        <v>814</v>
      </c>
      <c r="B269" s="307">
        <v>2018</v>
      </c>
      <c r="C269" s="307">
        <v>1</v>
      </c>
      <c r="D269" s="307">
        <v>1</v>
      </c>
      <c r="E269" s="307">
        <v>1</v>
      </c>
      <c r="F269" s="363">
        <v>5.5470922709447153E-2</v>
      </c>
      <c r="G269" s="363">
        <v>0.48825210867815605</v>
      </c>
    </row>
    <row r="270" spans="1:7" ht="14.25" customHeight="1" x14ac:dyDescent="0.2">
      <c r="A270" s="307" t="s">
        <v>814</v>
      </c>
      <c r="B270" s="307">
        <v>2019</v>
      </c>
      <c r="C270" s="307">
        <v>1</v>
      </c>
      <c r="D270" s="307">
        <v>1</v>
      </c>
      <c r="E270" s="307">
        <v>1</v>
      </c>
      <c r="F270" s="363">
        <v>0.1221751217942733</v>
      </c>
      <c r="G270" s="363">
        <v>0.37048223310530576</v>
      </c>
    </row>
    <row r="271" spans="1:7" ht="14.25" customHeight="1" x14ac:dyDescent="0.2">
      <c r="A271" s="307" t="s">
        <v>818</v>
      </c>
      <c r="B271" s="307">
        <v>2017</v>
      </c>
      <c r="C271" s="307">
        <v>0</v>
      </c>
      <c r="D271" s="307">
        <v>1</v>
      </c>
      <c r="E271" s="307">
        <v>0</v>
      </c>
      <c r="F271" s="363">
        <v>-3.1277359220719066E-2</v>
      </c>
      <c r="G271" s="363">
        <v>0.28375616083009081</v>
      </c>
    </row>
    <row r="272" spans="1:7" ht="14.25" customHeight="1" x14ac:dyDescent="0.2">
      <c r="A272" s="307" t="s">
        <v>818</v>
      </c>
      <c r="B272" s="307">
        <v>2018</v>
      </c>
      <c r="C272" s="307">
        <v>0</v>
      </c>
      <c r="D272" s="307">
        <v>1</v>
      </c>
      <c r="E272" s="307">
        <v>0</v>
      </c>
      <c r="F272" s="363">
        <v>-1.1966987372379622E-2</v>
      </c>
      <c r="G272" s="363">
        <v>2.4458541387659531</v>
      </c>
    </row>
    <row r="273" spans="1:7" ht="14.25" customHeight="1" x14ac:dyDescent="0.2">
      <c r="A273" s="307" t="s">
        <v>818</v>
      </c>
      <c r="B273" s="307">
        <v>2019</v>
      </c>
      <c r="C273" s="307">
        <v>0</v>
      </c>
      <c r="D273" s="307">
        <v>1</v>
      </c>
      <c r="E273" s="307">
        <v>0</v>
      </c>
      <c r="F273" s="363">
        <v>5.8173596454166886E-2</v>
      </c>
      <c r="G273" s="363">
        <v>1.2069628715866954</v>
      </c>
    </row>
    <row r="274" spans="1:7" ht="14.25" customHeight="1" x14ac:dyDescent="0.2">
      <c r="A274" s="307" t="s">
        <v>196</v>
      </c>
      <c r="B274" s="307">
        <v>2017</v>
      </c>
      <c r="C274" s="307">
        <v>1</v>
      </c>
      <c r="D274" s="307">
        <v>1</v>
      </c>
      <c r="E274" s="307">
        <v>1</v>
      </c>
      <c r="F274" s="363">
        <v>9.2147676957124404E-4</v>
      </c>
      <c r="G274" s="363">
        <v>-0.29034372057642094</v>
      </c>
    </row>
    <row r="275" spans="1:7" ht="14.25" customHeight="1" x14ac:dyDescent="0.2">
      <c r="A275" s="307" t="s">
        <v>196</v>
      </c>
      <c r="B275" s="307">
        <v>2018</v>
      </c>
      <c r="C275" s="307">
        <v>1</v>
      </c>
      <c r="D275" s="307">
        <v>1</v>
      </c>
      <c r="E275" s="307">
        <v>1</v>
      </c>
      <c r="F275" s="363">
        <v>-0.12796241494287669</v>
      </c>
      <c r="G275" s="363">
        <v>2.2606558342917951</v>
      </c>
    </row>
    <row r="276" spans="1:7" ht="14.25" customHeight="1" x14ac:dyDescent="0.2">
      <c r="A276" s="307" t="s">
        <v>196</v>
      </c>
      <c r="B276" s="307">
        <v>2019</v>
      </c>
      <c r="C276" s="307">
        <v>1</v>
      </c>
      <c r="D276" s="307">
        <v>1</v>
      </c>
      <c r="E276" s="307">
        <v>1</v>
      </c>
      <c r="F276" s="363">
        <v>1.5476539706873483E-2</v>
      </c>
      <c r="G276" s="363">
        <v>0.61200917704106306</v>
      </c>
    </row>
    <row r="277" spans="1:7" ht="14.25" customHeight="1" x14ac:dyDescent="0.2">
      <c r="A277" s="307" t="s">
        <v>381</v>
      </c>
      <c r="B277" s="307">
        <v>2017</v>
      </c>
      <c r="C277" s="307">
        <v>0</v>
      </c>
      <c r="D277" s="307">
        <v>1</v>
      </c>
      <c r="E277" s="307">
        <v>0</v>
      </c>
      <c r="F277" s="363">
        <v>-9.1783050832969643E-3</v>
      </c>
      <c r="G277" s="363">
        <v>0.43412219498618765</v>
      </c>
    </row>
    <row r="278" spans="1:7" ht="14.25" customHeight="1" x14ac:dyDescent="0.2">
      <c r="A278" s="307" t="s">
        <v>381</v>
      </c>
      <c r="B278" s="307">
        <v>2018</v>
      </c>
      <c r="C278" s="307">
        <v>0</v>
      </c>
      <c r="D278" s="307">
        <v>1</v>
      </c>
      <c r="E278" s="307">
        <v>0</v>
      </c>
      <c r="F278" s="363">
        <v>0.37001080321368746</v>
      </c>
      <c r="G278" s="363">
        <v>0.20237261912525595</v>
      </c>
    </row>
    <row r="279" spans="1:7" ht="14.25" customHeight="1" x14ac:dyDescent="0.2">
      <c r="A279" s="307" t="s">
        <v>381</v>
      </c>
      <c r="B279" s="307">
        <v>2019</v>
      </c>
      <c r="C279" s="307">
        <v>0</v>
      </c>
      <c r="D279" s="307">
        <v>1</v>
      </c>
      <c r="E279" s="307">
        <v>0</v>
      </c>
      <c r="F279" s="363">
        <v>1.9008475359505356E-2</v>
      </c>
      <c r="G279" s="363">
        <v>0.29219788901464366</v>
      </c>
    </row>
    <row r="280" spans="1:7" ht="14.25" customHeight="1" x14ac:dyDescent="0.2">
      <c r="A280" s="307" t="s">
        <v>199</v>
      </c>
      <c r="B280" s="307">
        <v>2017</v>
      </c>
      <c r="C280" s="307">
        <v>0</v>
      </c>
      <c r="D280" s="307">
        <v>1</v>
      </c>
      <c r="E280" s="307">
        <v>1</v>
      </c>
      <c r="F280" s="363">
        <v>0.13453511952011987</v>
      </c>
      <c r="G280" s="363">
        <v>0.26909250684108921</v>
      </c>
    </row>
    <row r="281" spans="1:7" ht="14.25" customHeight="1" x14ac:dyDescent="0.2">
      <c r="A281" s="307" t="s">
        <v>199</v>
      </c>
      <c r="B281" s="307">
        <v>2018</v>
      </c>
      <c r="C281" s="307">
        <v>0</v>
      </c>
      <c r="D281" s="307">
        <v>1</v>
      </c>
      <c r="E281" s="307">
        <v>1</v>
      </c>
      <c r="F281" s="363">
        <v>0.15573174629603467</v>
      </c>
      <c r="G281" s="363">
        <v>0.30377339927468455</v>
      </c>
    </row>
    <row r="282" spans="1:7" ht="14.25" customHeight="1" x14ac:dyDescent="0.2">
      <c r="A282" s="307" t="s">
        <v>199</v>
      </c>
      <c r="B282" s="307">
        <v>2019</v>
      </c>
      <c r="C282" s="307">
        <v>0</v>
      </c>
      <c r="D282" s="307">
        <v>1</v>
      </c>
      <c r="E282" s="307">
        <v>1</v>
      </c>
      <c r="F282" s="363">
        <v>4.014567182487741E-2</v>
      </c>
      <c r="G282" s="363">
        <v>0.20235748937796694</v>
      </c>
    </row>
    <row r="283" spans="1:7" ht="14.25" customHeight="1" x14ac:dyDescent="0.2">
      <c r="A283" s="307" t="s">
        <v>568</v>
      </c>
      <c r="B283" s="307">
        <v>2017</v>
      </c>
      <c r="C283" s="307">
        <v>1</v>
      </c>
      <c r="D283" s="307">
        <v>1</v>
      </c>
      <c r="E283" s="307">
        <v>1</v>
      </c>
      <c r="F283" s="363">
        <v>0.10410795268672993</v>
      </c>
      <c r="G283" s="363">
        <v>0.38242635120732393</v>
      </c>
    </row>
    <row r="284" spans="1:7" ht="14.25" customHeight="1" x14ac:dyDescent="0.2">
      <c r="A284" s="307" t="s">
        <v>568</v>
      </c>
      <c r="B284" s="307">
        <v>2018</v>
      </c>
      <c r="C284" s="307">
        <v>1</v>
      </c>
      <c r="D284" s="307">
        <v>1</v>
      </c>
      <c r="E284" s="307">
        <v>1</v>
      </c>
      <c r="F284" s="363">
        <v>0.18924548715567033</v>
      </c>
      <c r="G284" s="363">
        <v>0.17133171128042171</v>
      </c>
    </row>
    <row r="285" spans="1:7" ht="14.25" customHeight="1" x14ac:dyDescent="0.2">
      <c r="A285" s="307" t="s">
        <v>568</v>
      </c>
      <c r="B285" s="307">
        <v>2019</v>
      </c>
      <c r="C285" s="307">
        <v>1</v>
      </c>
      <c r="D285" s="307">
        <v>1</v>
      </c>
      <c r="E285" s="307">
        <v>1</v>
      </c>
      <c r="F285" s="363">
        <v>5.0363619091298391E-2</v>
      </c>
      <c r="G285" s="363">
        <v>0.12145750266996741</v>
      </c>
    </row>
    <row r="286" spans="1:7" ht="14.25" customHeight="1" x14ac:dyDescent="0.2">
      <c r="A286" s="307" t="s">
        <v>675</v>
      </c>
      <c r="B286" s="307">
        <v>2017</v>
      </c>
      <c r="C286" s="307">
        <v>0</v>
      </c>
      <c r="D286" s="307">
        <v>0</v>
      </c>
      <c r="E286" s="307">
        <v>1</v>
      </c>
      <c r="F286" s="363">
        <v>-0.50370394530594664</v>
      </c>
      <c r="G286" s="363">
        <v>0.11934682557452457</v>
      </c>
    </row>
    <row r="287" spans="1:7" ht="14.25" customHeight="1" x14ac:dyDescent="0.2">
      <c r="A287" s="307" t="s">
        <v>675</v>
      </c>
      <c r="B287" s="307">
        <v>2018</v>
      </c>
      <c r="C287" s="307">
        <v>0</v>
      </c>
      <c r="D287" s="307">
        <v>1</v>
      </c>
      <c r="E287" s="307">
        <v>1</v>
      </c>
      <c r="F287" s="363">
        <v>-0.43070939559462451</v>
      </c>
      <c r="G287" s="363">
        <v>0.14029545823813613</v>
      </c>
    </row>
    <row r="288" spans="1:7" ht="14.25" customHeight="1" x14ac:dyDescent="0.2">
      <c r="A288" s="307" t="s">
        <v>675</v>
      </c>
      <c r="B288" s="307">
        <v>2019</v>
      </c>
      <c r="C288" s="307">
        <v>0</v>
      </c>
      <c r="D288" s="307">
        <v>1</v>
      </c>
      <c r="E288" s="307">
        <v>1</v>
      </c>
      <c r="F288" s="363">
        <v>0.69439496486599106</v>
      </c>
      <c r="G288" s="363">
        <v>0.51351124190823294</v>
      </c>
    </row>
    <row r="289" spans="1:7" ht="14.25" customHeight="1" x14ac:dyDescent="0.2">
      <c r="A289" s="307" t="s">
        <v>301</v>
      </c>
      <c r="B289" s="307">
        <v>2017</v>
      </c>
      <c r="C289" s="307">
        <v>1</v>
      </c>
      <c r="D289" s="307">
        <v>1</v>
      </c>
      <c r="E289" s="307">
        <v>1</v>
      </c>
      <c r="F289" s="363">
        <v>1.3430688892145479E-2</v>
      </c>
      <c r="G289" s="363">
        <v>0.51572366051199225</v>
      </c>
    </row>
    <row r="290" spans="1:7" ht="14.25" customHeight="1" x14ac:dyDescent="0.2">
      <c r="A290" s="307" t="s">
        <v>301</v>
      </c>
      <c r="B290" s="307">
        <v>2018</v>
      </c>
      <c r="C290" s="307">
        <v>1</v>
      </c>
      <c r="D290" s="307">
        <v>1</v>
      </c>
      <c r="E290" s="307">
        <v>0</v>
      </c>
      <c r="F290" s="363">
        <v>0.3927215652972777</v>
      </c>
      <c r="G290" s="363">
        <v>0.21346151875088418</v>
      </c>
    </row>
    <row r="291" spans="1:7" ht="14.25" customHeight="1" x14ac:dyDescent="0.2">
      <c r="A291" s="307" t="s">
        <v>301</v>
      </c>
      <c r="B291" s="307">
        <v>2019</v>
      </c>
      <c r="C291" s="307">
        <v>1</v>
      </c>
      <c r="D291" s="307">
        <v>1</v>
      </c>
      <c r="E291" s="307">
        <v>0</v>
      </c>
      <c r="F291" s="363">
        <v>-3.9790029606677366E-2</v>
      </c>
      <c r="G291" s="363">
        <v>0.35250921364611937</v>
      </c>
    </row>
    <row r="292" spans="1:7" ht="14.25" customHeight="1" x14ac:dyDescent="0.2">
      <c r="A292" s="307" t="s">
        <v>384</v>
      </c>
      <c r="B292" s="307">
        <v>2017</v>
      </c>
      <c r="C292" s="307">
        <v>1</v>
      </c>
      <c r="D292" s="307">
        <v>1</v>
      </c>
      <c r="E292" s="307">
        <v>0</v>
      </c>
      <c r="F292" s="363">
        <v>0.38496418168488516</v>
      </c>
      <c r="G292" s="363">
        <v>0.18369717332863075</v>
      </c>
    </row>
    <row r="293" spans="1:7" ht="14.25" customHeight="1" x14ac:dyDescent="0.2">
      <c r="A293" s="307" t="s">
        <v>384</v>
      </c>
      <c r="B293" s="307">
        <v>2018</v>
      </c>
      <c r="C293" s="307">
        <v>1</v>
      </c>
      <c r="D293" s="307">
        <v>1</v>
      </c>
      <c r="E293" s="307">
        <v>1</v>
      </c>
      <c r="F293" s="363">
        <v>8.7101863640495644E-2</v>
      </c>
      <c r="G293" s="363">
        <v>0.33598708408932065</v>
      </c>
    </row>
    <row r="294" spans="1:7" ht="14.25" customHeight="1" x14ac:dyDescent="0.2">
      <c r="A294" s="307" t="s">
        <v>384</v>
      </c>
      <c r="B294" s="307">
        <v>2019</v>
      </c>
      <c r="C294" s="307">
        <v>1</v>
      </c>
      <c r="D294" s="307">
        <v>1</v>
      </c>
      <c r="E294" s="307">
        <v>0</v>
      </c>
      <c r="F294" s="363">
        <v>2.9317862957671879E-2</v>
      </c>
      <c r="G294" s="363">
        <v>0.28093812796026957</v>
      </c>
    </row>
    <row r="295" spans="1:7" ht="14.25" customHeight="1" x14ac:dyDescent="0.2">
      <c r="A295" s="307" t="s">
        <v>297</v>
      </c>
      <c r="B295" s="307">
        <v>2017</v>
      </c>
      <c r="C295" s="307">
        <v>1</v>
      </c>
      <c r="D295" s="307">
        <v>1</v>
      </c>
      <c r="E295" s="307">
        <v>1</v>
      </c>
      <c r="F295" s="363">
        <v>5.0757287747197427E-2</v>
      </c>
      <c r="G295" s="363">
        <v>-0.198382902437372</v>
      </c>
    </row>
    <row r="296" spans="1:7" ht="14.25" customHeight="1" x14ac:dyDescent="0.2">
      <c r="A296" s="307" t="s">
        <v>297</v>
      </c>
      <c r="B296" s="307">
        <v>2018</v>
      </c>
      <c r="C296" s="307">
        <v>1</v>
      </c>
      <c r="D296" s="307">
        <v>1</v>
      </c>
      <c r="E296" s="307">
        <v>0</v>
      </c>
      <c r="F296" s="363">
        <v>0.18650877961133919</v>
      </c>
      <c r="G296" s="363">
        <v>2.5099531615925059</v>
      </c>
    </row>
    <row r="297" spans="1:7" ht="14.25" customHeight="1" x14ac:dyDescent="0.2">
      <c r="A297" s="307" t="s">
        <v>297</v>
      </c>
      <c r="B297" s="307">
        <v>2019</v>
      </c>
      <c r="C297" s="307">
        <v>1</v>
      </c>
      <c r="D297" s="307">
        <v>1</v>
      </c>
      <c r="E297" s="307">
        <v>0</v>
      </c>
      <c r="F297" s="363">
        <v>2.469086047022053E-3</v>
      </c>
      <c r="G297" s="363">
        <v>0.18575168038332704</v>
      </c>
    </row>
    <row r="298" spans="1:7" ht="14.25" customHeight="1" x14ac:dyDescent="0.2">
      <c r="A298" s="307" t="s">
        <v>387</v>
      </c>
      <c r="B298" s="307">
        <v>2017</v>
      </c>
      <c r="C298" s="307">
        <v>0</v>
      </c>
      <c r="D298" s="307">
        <v>1</v>
      </c>
      <c r="E298" s="307">
        <v>0</v>
      </c>
      <c r="F298" s="363">
        <v>0.24311413721530697</v>
      </c>
      <c r="G298" s="363">
        <v>0.18010005558643691</v>
      </c>
    </row>
    <row r="299" spans="1:7" ht="14.25" customHeight="1" x14ac:dyDescent="0.2">
      <c r="A299" s="307" t="s">
        <v>387</v>
      </c>
      <c r="B299" s="307">
        <v>2018</v>
      </c>
      <c r="C299" s="307">
        <v>0</v>
      </c>
      <c r="D299" s="307">
        <v>1</v>
      </c>
      <c r="E299" s="307">
        <v>1</v>
      </c>
      <c r="F299" s="363">
        <v>0.91519394297885481</v>
      </c>
      <c r="G299" s="363">
        <v>9.4177288528389344E-2</v>
      </c>
    </row>
    <row r="300" spans="1:7" ht="14.25" customHeight="1" x14ac:dyDescent="0.2">
      <c r="A300" s="307" t="s">
        <v>387</v>
      </c>
      <c r="B300" s="307">
        <v>2019</v>
      </c>
      <c r="C300" s="307">
        <v>0</v>
      </c>
      <c r="D300" s="307">
        <v>1</v>
      </c>
      <c r="E300" s="307">
        <v>1</v>
      </c>
      <c r="F300" s="363">
        <v>-1.2232399053553255E-2</v>
      </c>
      <c r="G300" s="363">
        <v>0.31889307804144795</v>
      </c>
    </row>
    <row r="301" spans="1:7" ht="14.25" customHeight="1" x14ac:dyDescent="0.2">
      <c r="A301" s="307" t="s">
        <v>574</v>
      </c>
      <c r="B301" s="307">
        <v>2017</v>
      </c>
      <c r="C301" s="307">
        <v>1</v>
      </c>
      <c r="D301" s="307">
        <v>1</v>
      </c>
      <c r="E301" s="307">
        <v>0</v>
      </c>
      <c r="F301" s="363">
        <v>2.2256371006014759E-3</v>
      </c>
      <c r="G301" s="363">
        <v>1.4148577780236162</v>
      </c>
    </row>
    <row r="302" spans="1:7" ht="14.25" customHeight="1" x14ac:dyDescent="0.2">
      <c r="A302" s="307" t="s">
        <v>574</v>
      </c>
      <c r="B302" s="307">
        <v>2018</v>
      </c>
      <c r="C302" s="307">
        <v>1</v>
      </c>
      <c r="D302" s="307">
        <v>1</v>
      </c>
      <c r="E302" s="307">
        <v>1</v>
      </c>
      <c r="F302" s="363">
        <v>3.7850753411061517</v>
      </c>
      <c r="G302" s="363">
        <v>0.10361562502478357</v>
      </c>
    </row>
    <row r="303" spans="1:7" ht="14.25" customHeight="1" x14ac:dyDescent="0.2">
      <c r="A303" s="307" t="s">
        <v>574</v>
      </c>
      <c r="B303" s="307">
        <v>2019</v>
      </c>
      <c r="C303" s="307">
        <v>1</v>
      </c>
      <c r="D303" s="307">
        <v>1</v>
      </c>
      <c r="E303" s="307">
        <v>0</v>
      </c>
      <c r="F303" s="363">
        <v>-0.17110985805269927</v>
      </c>
      <c r="G303" s="363">
        <v>2.4693735971038131</v>
      </c>
    </row>
    <row r="304" spans="1:7" ht="14.25" customHeight="1" x14ac:dyDescent="0.2">
      <c r="A304" s="307" t="s">
        <v>691</v>
      </c>
      <c r="B304" s="307">
        <v>2017</v>
      </c>
      <c r="C304" s="307">
        <v>0</v>
      </c>
      <c r="D304" s="307">
        <v>1</v>
      </c>
      <c r="E304" s="307">
        <v>1</v>
      </c>
      <c r="F304" s="363">
        <v>0.18103982455543666</v>
      </c>
      <c r="G304" s="363">
        <v>1.5971247491140417E-2</v>
      </c>
    </row>
    <row r="305" spans="1:7" ht="14.25" customHeight="1" x14ac:dyDescent="0.2">
      <c r="A305" s="307" t="s">
        <v>691</v>
      </c>
      <c r="B305" s="307">
        <v>2018</v>
      </c>
      <c r="C305" s="307">
        <v>0</v>
      </c>
      <c r="D305" s="307">
        <v>1</v>
      </c>
      <c r="E305" s="307">
        <v>1</v>
      </c>
      <c r="F305" s="363">
        <v>0.23841221630211168</v>
      </c>
      <c r="G305" s="363">
        <v>8.7466412691981719E-3</v>
      </c>
    </row>
    <row r="306" spans="1:7" ht="14.25" customHeight="1" x14ac:dyDescent="0.2">
      <c r="A306" s="307" t="s">
        <v>691</v>
      </c>
      <c r="B306" s="307">
        <v>2019</v>
      </c>
      <c r="C306" s="307">
        <v>0</v>
      </c>
      <c r="D306" s="307">
        <v>1</v>
      </c>
      <c r="E306" s="307">
        <v>1</v>
      </c>
      <c r="F306" s="363">
        <v>1.7135784561954175E-2</v>
      </c>
      <c r="G306" s="363">
        <v>8.0283883730049212E-3</v>
      </c>
    </row>
    <row r="307" spans="1:7" ht="14.25" customHeight="1" x14ac:dyDescent="0.2">
      <c r="A307" s="307" t="s">
        <v>578</v>
      </c>
      <c r="B307" s="307">
        <v>2017</v>
      </c>
      <c r="C307" s="307">
        <v>0</v>
      </c>
      <c r="D307" s="307">
        <v>1</v>
      </c>
      <c r="E307" s="307">
        <v>1</v>
      </c>
      <c r="F307" s="363">
        <v>0.31019823781406464</v>
      </c>
      <c r="G307" s="363">
        <v>0.43980703773864521</v>
      </c>
    </row>
    <row r="308" spans="1:7" ht="14.25" customHeight="1" x14ac:dyDescent="0.2">
      <c r="A308" s="307" t="s">
        <v>578</v>
      </c>
      <c r="B308" s="307">
        <v>2018</v>
      </c>
      <c r="C308" s="307">
        <v>0</v>
      </c>
      <c r="D308" s="307">
        <v>1</v>
      </c>
      <c r="E308" s="307">
        <v>1</v>
      </c>
      <c r="F308" s="363">
        <v>0.3170619950591545</v>
      </c>
      <c r="G308" s="363">
        <v>0.42182167603906889</v>
      </c>
    </row>
    <row r="309" spans="1:7" ht="14.25" customHeight="1" x14ac:dyDescent="0.2">
      <c r="A309" s="307" t="s">
        <v>578</v>
      </c>
      <c r="B309" s="307">
        <v>2019</v>
      </c>
      <c r="C309" s="307">
        <v>0</v>
      </c>
      <c r="D309" s="307">
        <v>1</v>
      </c>
      <c r="E309" s="307">
        <v>1</v>
      </c>
      <c r="F309" s="363">
        <v>2.0615900232313782E-2</v>
      </c>
      <c r="G309" s="363">
        <v>0.55881047717498544</v>
      </c>
    </row>
    <row r="310" spans="1:7" ht="14.25" customHeight="1" x14ac:dyDescent="0.2">
      <c r="A310" s="307" t="s">
        <v>205</v>
      </c>
      <c r="B310" s="307">
        <v>2017</v>
      </c>
      <c r="C310" s="307">
        <v>1</v>
      </c>
      <c r="D310" s="307">
        <v>1</v>
      </c>
      <c r="E310" s="307">
        <v>1</v>
      </c>
      <c r="F310" s="363">
        <v>5.3559208363667322E-2</v>
      </c>
      <c r="G310" s="363">
        <v>-0.97754213037360638</v>
      </c>
    </row>
    <row r="311" spans="1:7" ht="14.25" customHeight="1" x14ac:dyDescent="0.2">
      <c r="A311" s="307" t="s">
        <v>205</v>
      </c>
      <c r="B311" s="307">
        <v>2018</v>
      </c>
      <c r="C311" s="307">
        <v>1</v>
      </c>
      <c r="D311" s="307">
        <v>1</v>
      </c>
      <c r="E311" s="307">
        <v>1</v>
      </c>
      <c r="F311" s="363">
        <v>8.2146092057454337E-2</v>
      </c>
      <c r="G311" s="363">
        <v>-0.8778582211405157</v>
      </c>
    </row>
    <row r="312" spans="1:7" ht="14.25" customHeight="1" x14ac:dyDescent="0.2">
      <c r="A312" s="307" t="s">
        <v>205</v>
      </c>
      <c r="B312" s="307">
        <v>2019</v>
      </c>
      <c r="C312" s="307">
        <v>1</v>
      </c>
      <c r="D312" s="307">
        <v>1</v>
      </c>
      <c r="E312" s="307">
        <v>1</v>
      </c>
      <c r="F312" s="363">
        <v>-4.9644445115478192E-2</v>
      </c>
      <c r="G312" s="363">
        <v>0.50490768069187997</v>
      </c>
    </row>
    <row r="313" spans="1:7" ht="14.25" customHeight="1" x14ac:dyDescent="0.2">
      <c r="A313" s="307" t="s">
        <v>208</v>
      </c>
      <c r="B313" s="307">
        <v>2017</v>
      </c>
      <c r="C313" s="307">
        <v>1</v>
      </c>
      <c r="D313" s="307">
        <v>0</v>
      </c>
      <c r="E313" s="307">
        <v>1</v>
      </c>
      <c r="F313" s="363">
        <v>-1.22211556355151E-2</v>
      </c>
      <c r="G313" s="363">
        <v>0.26378317369398863</v>
      </c>
    </row>
    <row r="314" spans="1:7" ht="14.25" customHeight="1" x14ac:dyDescent="0.2">
      <c r="A314" s="307" t="s">
        <v>208</v>
      </c>
      <c r="B314" s="307">
        <v>2018</v>
      </c>
      <c r="C314" s="307">
        <v>1</v>
      </c>
      <c r="D314" s="307">
        <v>0</v>
      </c>
      <c r="E314" s="307">
        <v>1</v>
      </c>
      <c r="F314" s="363">
        <v>0.11057190288214408</v>
      </c>
      <c r="G314" s="363">
        <v>0.10870086289135926</v>
      </c>
    </row>
    <row r="315" spans="1:7" ht="14.25" customHeight="1" x14ac:dyDescent="0.2">
      <c r="A315" s="307" t="s">
        <v>208</v>
      </c>
      <c r="B315" s="307">
        <v>2019</v>
      </c>
      <c r="C315" s="307">
        <v>1</v>
      </c>
      <c r="D315" s="307">
        <v>0</v>
      </c>
      <c r="E315" s="307">
        <v>1</v>
      </c>
      <c r="F315" s="363">
        <v>0.20620530995344633</v>
      </c>
      <c r="G315" s="363">
        <v>0.15897770124815369</v>
      </c>
    </row>
    <row r="316" spans="1:7" ht="14.25" customHeight="1" x14ac:dyDescent="0.2">
      <c r="A316" s="307" t="s">
        <v>841</v>
      </c>
      <c r="B316" s="307">
        <v>2017</v>
      </c>
      <c r="C316" s="307">
        <v>1</v>
      </c>
      <c r="D316" s="307">
        <v>1</v>
      </c>
      <c r="E316" s="307">
        <v>1</v>
      </c>
      <c r="F316" s="363">
        <v>-1.5536048584211341E-2</v>
      </c>
      <c r="G316" s="363">
        <v>0.26643398252262979</v>
      </c>
    </row>
    <row r="317" spans="1:7" ht="14.25" customHeight="1" x14ac:dyDescent="0.2">
      <c r="A317" s="307" t="s">
        <v>841</v>
      </c>
      <c r="B317" s="307">
        <v>2018</v>
      </c>
      <c r="C317" s="307">
        <v>1</v>
      </c>
      <c r="D317" s="307">
        <v>1</v>
      </c>
      <c r="E317" s="307">
        <v>1</v>
      </c>
      <c r="F317" s="363">
        <v>0.1847719670417021</v>
      </c>
      <c r="G317" s="363">
        <v>0.27146172253693546</v>
      </c>
    </row>
    <row r="318" spans="1:7" ht="14.25" customHeight="1" x14ac:dyDescent="0.2">
      <c r="A318" s="307" t="s">
        <v>841</v>
      </c>
      <c r="B318" s="307">
        <v>2019</v>
      </c>
      <c r="C318" s="307">
        <v>1</v>
      </c>
      <c r="D318" s="307">
        <v>1</v>
      </c>
      <c r="E318" s="307">
        <v>1</v>
      </c>
      <c r="F318" s="363">
        <v>4.6726766961929296E-2</v>
      </c>
      <c r="G318" s="363">
        <v>0.35130074173067272</v>
      </c>
    </row>
    <row r="319" spans="1:7" ht="14.25" customHeight="1" x14ac:dyDescent="0.2">
      <c r="A319" s="307" t="s">
        <v>843</v>
      </c>
      <c r="B319" s="307">
        <v>2017</v>
      </c>
      <c r="C319" s="307">
        <v>1</v>
      </c>
      <c r="D319" s="307">
        <v>1</v>
      </c>
      <c r="E319" s="307">
        <v>1</v>
      </c>
      <c r="F319" s="363">
        <v>7.1422606983330722E-2</v>
      </c>
      <c r="G319" s="363">
        <v>0.49968372562448549</v>
      </c>
    </row>
    <row r="320" spans="1:7" ht="14.25" customHeight="1" x14ac:dyDescent="0.2">
      <c r="A320" s="307" t="s">
        <v>843</v>
      </c>
      <c r="B320" s="307">
        <v>2018</v>
      </c>
      <c r="C320" s="307">
        <v>1</v>
      </c>
      <c r="D320" s="307">
        <v>1</v>
      </c>
      <c r="E320" s="307">
        <v>1</v>
      </c>
      <c r="F320" s="363">
        <v>0.12571282289674585</v>
      </c>
      <c r="G320" s="363">
        <v>0.29431713738714904</v>
      </c>
    </row>
    <row r="321" spans="1:7" ht="14.25" customHeight="1" x14ac:dyDescent="0.2">
      <c r="A321" s="307" t="s">
        <v>843</v>
      </c>
      <c r="B321" s="307">
        <v>2019</v>
      </c>
      <c r="C321" s="307">
        <v>1</v>
      </c>
      <c r="D321" s="307">
        <v>1</v>
      </c>
      <c r="E321" s="307">
        <v>1</v>
      </c>
      <c r="F321" s="363">
        <v>0.1475360747962752</v>
      </c>
      <c r="G321" s="363">
        <v>1.2739764708000838</v>
      </c>
    </row>
    <row r="322" spans="1:7" ht="14.25" customHeight="1" x14ac:dyDescent="0.2">
      <c r="A322" s="307" t="s">
        <v>491</v>
      </c>
      <c r="B322" s="307">
        <v>2017</v>
      </c>
      <c r="C322" s="307">
        <v>1</v>
      </c>
      <c r="D322" s="307">
        <v>1</v>
      </c>
      <c r="E322" s="307">
        <v>1</v>
      </c>
      <c r="F322" s="363">
        <v>6.4258757402331307E-2</v>
      </c>
      <c r="G322" s="363">
        <v>0.41781349350555275</v>
      </c>
    </row>
    <row r="323" spans="1:7" ht="14.25" customHeight="1" x14ac:dyDescent="0.2">
      <c r="A323" s="307" t="s">
        <v>491</v>
      </c>
      <c r="B323" s="307">
        <v>2018</v>
      </c>
      <c r="C323" s="307">
        <v>1</v>
      </c>
      <c r="D323" s="307">
        <v>1</v>
      </c>
      <c r="E323" s="307">
        <v>1</v>
      </c>
      <c r="F323" s="363">
        <v>0.10332913368817832</v>
      </c>
      <c r="G323" s="363">
        <v>0.13225637576404539</v>
      </c>
    </row>
    <row r="324" spans="1:7" ht="14.25" customHeight="1" x14ac:dyDescent="0.2">
      <c r="A324" s="307" t="s">
        <v>491</v>
      </c>
      <c r="B324" s="307">
        <v>2019</v>
      </c>
      <c r="C324" s="307">
        <v>1</v>
      </c>
      <c r="D324" s="307">
        <v>1</v>
      </c>
      <c r="E324" s="307">
        <v>1</v>
      </c>
      <c r="F324" s="363">
        <v>0.31545226079071742</v>
      </c>
      <c r="G324" s="363">
        <v>0.19298010654692524</v>
      </c>
    </row>
    <row r="325" spans="1:7" ht="14.25" customHeight="1" x14ac:dyDescent="0.2">
      <c r="A325" s="307" t="s">
        <v>112</v>
      </c>
      <c r="B325" s="307">
        <v>2017</v>
      </c>
      <c r="C325" s="307">
        <v>1</v>
      </c>
      <c r="D325" s="307">
        <v>1</v>
      </c>
      <c r="E325" s="307">
        <v>1</v>
      </c>
      <c r="F325" s="363">
        <v>0.24055025237778915</v>
      </c>
      <c r="G325" s="363">
        <v>0.25167385924739938</v>
      </c>
    </row>
    <row r="326" spans="1:7" ht="14.25" customHeight="1" x14ac:dyDescent="0.2">
      <c r="A326" s="307" t="s">
        <v>112</v>
      </c>
      <c r="B326" s="307">
        <v>2018</v>
      </c>
      <c r="C326" s="307">
        <v>1</v>
      </c>
      <c r="D326" s="307">
        <v>1</v>
      </c>
      <c r="E326" s="307">
        <v>1</v>
      </c>
      <c r="F326" s="363">
        <v>-0.1131765735032392</v>
      </c>
      <c r="G326" s="363">
        <v>1.3070448352360036</v>
      </c>
    </row>
    <row r="327" spans="1:7" ht="14.25" customHeight="1" x14ac:dyDescent="0.2">
      <c r="A327" s="307" t="s">
        <v>112</v>
      </c>
      <c r="B327" s="307">
        <v>2019</v>
      </c>
      <c r="C327" s="307">
        <v>1</v>
      </c>
      <c r="D327" s="307">
        <v>1</v>
      </c>
      <c r="E327" s="307">
        <v>1</v>
      </c>
      <c r="F327" s="363">
        <v>1.9002839074197069E-2</v>
      </c>
      <c r="G327" s="363">
        <v>0.61112291058807078</v>
      </c>
    </row>
    <row r="328" spans="1:7" ht="14.25" customHeight="1" x14ac:dyDescent="0.2">
      <c r="A328" s="307" t="s">
        <v>210</v>
      </c>
      <c r="B328" s="307">
        <v>2017</v>
      </c>
      <c r="C328" s="307">
        <v>0</v>
      </c>
      <c r="D328" s="307">
        <v>0</v>
      </c>
      <c r="E328" s="307">
        <v>1</v>
      </c>
      <c r="F328" s="363">
        <v>4.697467333592005E-3</v>
      </c>
      <c r="G328" s="363">
        <v>0.21606155840613356</v>
      </c>
    </row>
    <row r="329" spans="1:7" ht="14.25" customHeight="1" x14ac:dyDescent="0.2">
      <c r="A329" s="307" t="s">
        <v>210</v>
      </c>
      <c r="B329" s="307">
        <v>2018</v>
      </c>
      <c r="C329" s="307">
        <v>0</v>
      </c>
      <c r="D329" s="307">
        <v>0</v>
      </c>
      <c r="E329" s="307">
        <v>1</v>
      </c>
      <c r="F329" s="363">
        <v>7.3606751002393306E-2</v>
      </c>
      <c r="G329" s="363">
        <v>0.21863322259825291</v>
      </c>
    </row>
    <row r="330" spans="1:7" ht="14.25" customHeight="1" x14ac:dyDescent="0.2">
      <c r="A330" s="307" t="s">
        <v>210</v>
      </c>
      <c r="B330" s="307">
        <v>2019</v>
      </c>
      <c r="C330" s="307">
        <v>0</v>
      </c>
      <c r="D330" s="307">
        <v>0</v>
      </c>
      <c r="E330" s="307">
        <v>1</v>
      </c>
      <c r="F330" s="363">
        <v>0.1100650962692325</v>
      </c>
      <c r="G330" s="363">
        <v>0.20731397281705291</v>
      </c>
    </row>
    <row r="331" spans="1:7" ht="14.25" customHeight="1" x14ac:dyDescent="0.2">
      <c r="A331" s="307" t="s">
        <v>845</v>
      </c>
      <c r="B331" s="307">
        <v>2017</v>
      </c>
      <c r="C331" s="307">
        <v>1</v>
      </c>
      <c r="D331" s="307">
        <v>1</v>
      </c>
      <c r="E331" s="307">
        <v>1</v>
      </c>
      <c r="F331" s="363">
        <v>0.13150063182481572</v>
      </c>
      <c r="G331" s="363">
        <v>0.44705282469918367</v>
      </c>
    </row>
    <row r="332" spans="1:7" ht="14.25" customHeight="1" x14ac:dyDescent="0.2">
      <c r="A332" s="307" t="s">
        <v>845</v>
      </c>
      <c r="B332" s="307">
        <v>2018</v>
      </c>
      <c r="C332" s="307">
        <v>1</v>
      </c>
      <c r="D332" s="307">
        <v>1</v>
      </c>
      <c r="E332" s="307">
        <v>1</v>
      </c>
      <c r="F332" s="363">
        <v>1.9945943967909746E-2</v>
      </c>
      <c r="G332" s="363">
        <v>0.73771636293603604</v>
      </c>
    </row>
    <row r="333" spans="1:7" ht="14.25" customHeight="1" x14ac:dyDescent="0.2">
      <c r="A333" s="307" t="s">
        <v>845</v>
      </c>
      <c r="B333" s="307">
        <v>2019</v>
      </c>
      <c r="C333" s="307">
        <v>1</v>
      </c>
      <c r="D333" s="307">
        <v>1</v>
      </c>
      <c r="E333" s="307">
        <v>1</v>
      </c>
      <c r="F333" s="363">
        <v>0.17658521455575768</v>
      </c>
      <c r="G333" s="363">
        <v>-1.1837350203295527</v>
      </c>
    </row>
    <row r="334" spans="1:7" ht="14.25" customHeight="1" x14ac:dyDescent="0.2">
      <c r="A334" s="307" t="s">
        <v>115</v>
      </c>
      <c r="B334" s="307">
        <v>2017</v>
      </c>
      <c r="C334" s="307">
        <v>0</v>
      </c>
      <c r="D334" s="307">
        <v>1</v>
      </c>
      <c r="E334" s="307">
        <v>1</v>
      </c>
      <c r="F334" s="363">
        <v>8.9169054330835357E-2</v>
      </c>
      <c r="G334" s="363">
        <v>0.57776523219884257</v>
      </c>
    </row>
    <row r="335" spans="1:7" ht="14.25" customHeight="1" x14ac:dyDescent="0.2">
      <c r="A335" s="307" t="s">
        <v>115</v>
      </c>
      <c r="B335" s="307">
        <v>2018</v>
      </c>
      <c r="C335" s="307">
        <v>0</v>
      </c>
      <c r="D335" s="307">
        <v>1</v>
      </c>
      <c r="E335" s="307">
        <v>1</v>
      </c>
      <c r="F335" s="363">
        <v>-0.11165965149411297</v>
      </c>
      <c r="G335" s="363">
        <v>2.7191929257650371</v>
      </c>
    </row>
    <row r="336" spans="1:7" ht="14.25" customHeight="1" x14ac:dyDescent="0.2">
      <c r="A336" s="307" t="s">
        <v>115</v>
      </c>
      <c r="B336" s="307">
        <v>2019</v>
      </c>
      <c r="C336" s="307">
        <v>0</v>
      </c>
      <c r="D336" s="307">
        <v>1</v>
      </c>
      <c r="E336" s="307">
        <v>1</v>
      </c>
      <c r="F336" s="363">
        <v>-2.9095163751071344E-2</v>
      </c>
      <c r="G336" s="363">
        <v>-1.5612861338378587</v>
      </c>
    </row>
    <row r="337" spans="1:7" ht="14.25" customHeight="1" x14ac:dyDescent="0.2">
      <c r="A337" s="307" t="s">
        <v>487</v>
      </c>
      <c r="B337" s="307">
        <v>2017</v>
      </c>
      <c r="C337" s="307">
        <v>0</v>
      </c>
      <c r="D337" s="307">
        <v>1</v>
      </c>
      <c r="E337" s="307">
        <v>0</v>
      </c>
      <c r="F337" s="363">
        <v>-8.0651035909550476E-3</v>
      </c>
      <c r="G337" s="363">
        <v>0.2330704047597584</v>
      </c>
    </row>
    <row r="338" spans="1:7" ht="14.25" customHeight="1" x14ac:dyDescent="0.2">
      <c r="A338" s="307" t="s">
        <v>487</v>
      </c>
      <c r="B338" s="307">
        <v>2018</v>
      </c>
      <c r="C338" s="307">
        <v>0</v>
      </c>
      <c r="D338" s="307">
        <v>1</v>
      </c>
      <c r="E338" s="307">
        <v>1</v>
      </c>
      <c r="F338" s="363">
        <v>0.10611770047707768</v>
      </c>
      <c r="G338" s="363">
        <v>0.70980761469124176</v>
      </c>
    </row>
    <row r="339" spans="1:7" ht="14.25" customHeight="1" x14ac:dyDescent="0.2">
      <c r="A339" s="307" t="s">
        <v>487</v>
      </c>
      <c r="B339" s="307">
        <v>2019</v>
      </c>
      <c r="C339" s="307">
        <v>0</v>
      </c>
      <c r="D339" s="307">
        <v>1</v>
      </c>
      <c r="E339" s="307">
        <v>1</v>
      </c>
      <c r="F339" s="363">
        <v>6.5535918311222047E-2</v>
      </c>
      <c r="G339" s="363">
        <v>0.2485914334436754</v>
      </c>
    </row>
    <row r="340" spans="1:7" ht="14.25" customHeight="1" x14ac:dyDescent="0.2">
      <c r="A340" s="307" t="s">
        <v>310</v>
      </c>
      <c r="B340" s="307">
        <v>2017</v>
      </c>
      <c r="C340" s="307">
        <v>1</v>
      </c>
      <c r="D340" s="307">
        <v>1</v>
      </c>
      <c r="E340" s="307">
        <v>0</v>
      </c>
      <c r="F340" s="363">
        <v>6.14722202023587E-2</v>
      </c>
      <c r="G340" s="363">
        <v>0.41993608542070199</v>
      </c>
    </row>
    <row r="341" spans="1:7" ht="14.25" customHeight="1" x14ac:dyDescent="0.2">
      <c r="A341" s="307" t="s">
        <v>310</v>
      </c>
      <c r="B341" s="307">
        <v>2018</v>
      </c>
      <c r="C341" s="307">
        <v>1</v>
      </c>
      <c r="D341" s="307">
        <v>1</v>
      </c>
      <c r="E341" s="307">
        <v>0</v>
      </c>
      <c r="F341" s="363">
        <v>0.19684795210420608</v>
      </c>
      <c r="G341" s="363">
        <v>0.43013493386712692</v>
      </c>
    </row>
    <row r="342" spans="1:7" ht="14.25" customHeight="1" x14ac:dyDescent="0.2">
      <c r="A342" s="307" t="s">
        <v>310</v>
      </c>
      <c r="B342" s="307">
        <v>2019</v>
      </c>
      <c r="C342" s="307">
        <v>1</v>
      </c>
      <c r="D342" s="307">
        <v>1</v>
      </c>
      <c r="E342" s="307">
        <v>0</v>
      </c>
      <c r="F342" s="363">
        <v>-9.7861189121978054E-2</v>
      </c>
      <c r="G342" s="363">
        <v>-0.10190392183256856</v>
      </c>
    </row>
    <row r="343" spans="1:7" ht="14.25" customHeight="1" x14ac:dyDescent="0.2">
      <c r="A343" s="307" t="s">
        <v>584</v>
      </c>
      <c r="B343" s="307">
        <v>2017</v>
      </c>
      <c r="C343" s="307">
        <v>0</v>
      </c>
      <c r="D343" s="307">
        <v>1</v>
      </c>
      <c r="E343" s="307">
        <v>1</v>
      </c>
      <c r="F343" s="363">
        <v>0.15975965631853595</v>
      </c>
      <c r="G343" s="363">
        <v>0.23174048551422491</v>
      </c>
    </row>
    <row r="344" spans="1:7" ht="14.25" customHeight="1" x14ac:dyDescent="0.2">
      <c r="A344" s="307" t="s">
        <v>584</v>
      </c>
      <c r="B344" s="307">
        <v>2018</v>
      </c>
      <c r="C344" s="307">
        <v>0</v>
      </c>
      <c r="D344" s="307">
        <v>1</v>
      </c>
      <c r="E344" s="307">
        <v>1</v>
      </c>
      <c r="F344" s="363">
        <v>0.17766329217919713</v>
      </c>
      <c r="G344" s="363">
        <v>0.233034441210169</v>
      </c>
    </row>
    <row r="345" spans="1:7" ht="14.25" customHeight="1" x14ac:dyDescent="0.2">
      <c r="A345" s="307" t="s">
        <v>584</v>
      </c>
      <c r="B345" s="307">
        <v>2019</v>
      </c>
      <c r="C345" s="307">
        <v>0</v>
      </c>
      <c r="D345" s="307">
        <v>1</v>
      </c>
      <c r="E345" s="307">
        <v>1</v>
      </c>
      <c r="F345" s="363">
        <v>6.249121296766398E-4</v>
      </c>
      <c r="G345" s="363">
        <v>0.24550813705382449</v>
      </c>
    </row>
    <row r="346" spans="1:7" ht="14.25" customHeight="1" x14ac:dyDescent="0.2">
      <c r="A346" s="307" t="s">
        <v>314</v>
      </c>
      <c r="B346" s="307">
        <v>2017</v>
      </c>
      <c r="C346" s="307">
        <v>1</v>
      </c>
      <c r="D346" s="307">
        <v>1</v>
      </c>
      <c r="E346" s="307">
        <v>0</v>
      </c>
      <c r="F346" s="363">
        <v>6.7230297693752217E-2</v>
      </c>
      <c r="G346" s="363">
        <v>8.2083767219410457E-4</v>
      </c>
    </row>
    <row r="347" spans="1:7" ht="14.25" customHeight="1" x14ac:dyDescent="0.2">
      <c r="A347" s="307" t="s">
        <v>314</v>
      </c>
      <c r="B347" s="307">
        <v>2018</v>
      </c>
      <c r="C347" s="307">
        <v>1</v>
      </c>
      <c r="D347" s="307">
        <v>1</v>
      </c>
      <c r="E347" s="307">
        <v>0</v>
      </c>
      <c r="F347" s="363">
        <v>1.9117045862651616E-2</v>
      </c>
      <c r="G347" s="363">
        <v>1.6344441518212657E-3</v>
      </c>
    </row>
    <row r="348" spans="1:7" ht="14.25" customHeight="1" x14ac:dyDescent="0.2">
      <c r="A348" s="307" t="s">
        <v>314</v>
      </c>
      <c r="B348" s="307">
        <v>2019</v>
      </c>
      <c r="C348" s="307">
        <v>1</v>
      </c>
      <c r="D348" s="307">
        <v>1</v>
      </c>
      <c r="E348" s="307">
        <v>0</v>
      </c>
      <c r="F348" s="363">
        <v>0.14697163958185952</v>
      </c>
      <c r="G348" s="363">
        <v>0.14327837632894491</v>
      </c>
    </row>
    <row r="349" spans="1:7" ht="14.25" customHeight="1" x14ac:dyDescent="0.2">
      <c r="A349" s="307" t="s">
        <v>850</v>
      </c>
      <c r="B349" s="307">
        <v>2017</v>
      </c>
      <c r="C349" s="307">
        <v>1</v>
      </c>
      <c r="D349" s="307">
        <v>1</v>
      </c>
      <c r="E349" s="307">
        <v>1</v>
      </c>
      <c r="F349" s="363">
        <v>0.22134044234136716</v>
      </c>
      <c r="G349" s="363">
        <v>0</v>
      </c>
    </row>
    <row r="350" spans="1:7" ht="14.25" customHeight="1" x14ac:dyDescent="0.2">
      <c r="A350" s="307" t="s">
        <v>850</v>
      </c>
      <c r="B350" s="307">
        <v>2018</v>
      </c>
      <c r="C350" s="307">
        <v>1</v>
      </c>
      <c r="D350" s="307">
        <v>1</v>
      </c>
      <c r="E350" s="307">
        <v>1</v>
      </c>
      <c r="F350" s="363">
        <v>0.12482047415157575</v>
      </c>
      <c r="G350" s="363">
        <v>0.26296198543985944</v>
      </c>
    </row>
    <row r="351" spans="1:7" ht="14.25" customHeight="1" x14ac:dyDescent="0.2">
      <c r="A351" s="307" t="s">
        <v>850</v>
      </c>
      <c r="B351" s="307">
        <v>2019</v>
      </c>
      <c r="C351" s="307">
        <v>1</v>
      </c>
      <c r="D351" s="307">
        <v>1</v>
      </c>
      <c r="E351" s="307">
        <v>1</v>
      </c>
      <c r="F351" s="363">
        <v>-0.14457459427810665</v>
      </c>
      <c r="G351" s="363">
        <v>0.11725826598129839</v>
      </c>
    </row>
    <row r="352" spans="1:7" ht="14.25" customHeight="1" x14ac:dyDescent="0.2">
      <c r="A352" s="307" t="s">
        <v>588</v>
      </c>
      <c r="B352" s="307">
        <v>2017</v>
      </c>
      <c r="C352" s="307">
        <v>0</v>
      </c>
      <c r="D352" s="307">
        <v>1</v>
      </c>
      <c r="E352" s="307">
        <v>1</v>
      </c>
      <c r="F352" s="363">
        <v>8.2331857628527808E-2</v>
      </c>
      <c r="G352" s="363">
        <v>0.16589407470150666</v>
      </c>
    </row>
    <row r="353" spans="1:7" ht="14.25" customHeight="1" x14ac:dyDescent="0.2">
      <c r="A353" s="307" t="s">
        <v>588</v>
      </c>
      <c r="B353" s="307">
        <v>2018</v>
      </c>
      <c r="C353" s="307">
        <v>0</v>
      </c>
      <c r="D353" s="307">
        <v>1</v>
      </c>
      <c r="E353" s="307">
        <v>1</v>
      </c>
      <c r="F353" s="363">
        <v>0.45504329100972596</v>
      </c>
      <c r="G353" s="363">
        <v>0.13021413162028092</v>
      </c>
    </row>
    <row r="354" spans="1:7" ht="14.25" customHeight="1" x14ac:dyDescent="0.2">
      <c r="A354" s="307" t="s">
        <v>588</v>
      </c>
      <c r="B354" s="307">
        <v>2019</v>
      </c>
      <c r="C354" s="307">
        <v>0</v>
      </c>
      <c r="D354" s="307">
        <v>1</v>
      </c>
      <c r="E354" s="307">
        <v>1</v>
      </c>
      <c r="F354" s="363">
        <v>0.10369716018306226</v>
      </c>
      <c r="G354" s="363">
        <v>0.12429918734516203</v>
      </c>
    </row>
    <row r="355" spans="1:7" ht="14.25" customHeight="1" x14ac:dyDescent="0.2">
      <c r="A355" s="307" t="s">
        <v>119</v>
      </c>
      <c r="B355" s="307">
        <v>2017</v>
      </c>
      <c r="C355" s="307">
        <v>1</v>
      </c>
      <c r="D355" s="307">
        <v>1</v>
      </c>
      <c r="E355" s="307">
        <v>1</v>
      </c>
      <c r="F355" s="363">
        <v>0.19031045009233627</v>
      </c>
      <c r="G355" s="363">
        <v>0.50578995218548028</v>
      </c>
    </row>
    <row r="356" spans="1:7" ht="14.25" customHeight="1" x14ac:dyDescent="0.2">
      <c r="A356" s="307" t="s">
        <v>119</v>
      </c>
      <c r="B356" s="307">
        <v>2018</v>
      </c>
      <c r="C356" s="307">
        <v>1</v>
      </c>
      <c r="D356" s="307">
        <v>1</v>
      </c>
      <c r="E356" s="307">
        <v>1</v>
      </c>
      <c r="F356" s="363">
        <v>0.14500866025953246</v>
      </c>
      <c r="G356" s="363">
        <v>1.2099301710242707</v>
      </c>
    </row>
    <row r="357" spans="1:7" ht="14.25" customHeight="1" x14ac:dyDescent="0.2">
      <c r="A357" s="307" t="s">
        <v>119</v>
      </c>
      <c r="B357" s="307">
        <v>2019</v>
      </c>
      <c r="C357" s="307">
        <v>1</v>
      </c>
      <c r="D357" s="307">
        <v>1</v>
      </c>
      <c r="E357" s="307">
        <v>1</v>
      </c>
      <c r="F357" s="363">
        <v>-0.11667996658638298</v>
      </c>
      <c r="G357" s="363">
        <v>1.9133026601573693</v>
      </c>
    </row>
    <row r="358" spans="1:7" ht="14.25" customHeight="1" x14ac:dyDescent="0.2">
      <c r="A358" s="307" t="s">
        <v>320</v>
      </c>
      <c r="B358" s="307">
        <v>2017</v>
      </c>
      <c r="C358" s="307">
        <v>1</v>
      </c>
      <c r="D358" s="307">
        <v>1</v>
      </c>
      <c r="E358" s="307">
        <v>0</v>
      </c>
      <c r="F358" s="363">
        <v>8.4046449991296554E-2</v>
      </c>
      <c r="G358" s="363">
        <v>0.20107223246246581</v>
      </c>
    </row>
    <row r="359" spans="1:7" ht="14.25" customHeight="1" x14ac:dyDescent="0.2">
      <c r="A359" s="307" t="s">
        <v>320</v>
      </c>
      <c r="B359" s="307">
        <v>2018</v>
      </c>
      <c r="C359" s="307">
        <v>1</v>
      </c>
      <c r="D359" s="307">
        <v>1</v>
      </c>
      <c r="E359" s="307">
        <v>0</v>
      </c>
      <c r="F359" s="363">
        <v>7.3339738036854799E-2</v>
      </c>
      <c r="G359" s="363">
        <v>0.18738218736940437</v>
      </c>
    </row>
    <row r="360" spans="1:7" ht="14.25" customHeight="1" x14ac:dyDescent="0.2">
      <c r="A360" s="307" t="s">
        <v>320</v>
      </c>
      <c r="B360" s="307">
        <v>2019</v>
      </c>
      <c r="C360" s="307">
        <v>1</v>
      </c>
      <c r="D360" s="307">
        <v>1</v>
      </c>
      <c r="E360" s="307">
        <v>0</v>
      </c>
      <c r="F360" s="363">
        <v>8.8141020074166243E-2</v>
      </c>
      <c r="G360" s="363">
        <v>0.22297653761057423</v>
      </c>
    </row>
    <row r="361" spans="1:7" ht="14.25" customHeight="1" x14ac:dyDescent="0.2">
      <c r="A361" s="307" t="s">
        <v>212</v>
      </c>
      <c r="B361" s="307">
        <v>2017</v>
      </c>
      <c r="C361" s="307">
        <v>0</v>
      </c>
      <c r="D361" s="307">
        <v>1</v>
      </c>
      <c r="E361" s="307">
        <v>1</v>
      </c>
      <c r="F361" s="363">
        <v>0.37776106159368006</v>
      </c>
      <c r="G361" s="363">
        <v>0.15269854635560454</v>
      </c>
    </row>
    <row r="362" spans="1:7" ht="14.25" customHeight="1" x14ac:dyDescent="0.2">
      <c r="A362" s="307" t="s">
        <v>212</v>
      </c>
      <c r="B362" s="307">
        <v>2018</v>
      </c>
      <c r="C362" s="307">
        <v>0</v>
      </c>
      <c r="D362" s="307">
        <v>1</v>
      </c>
      <c r="E362" s="307">
        <v>0</v>
      </c>
      <c r="F362" s="363">
        <v>-4.0092557886005874E-2</v>
      </c>
      <c r="G362" s="363">
        <v>0.18520485693330585</v>
      </c>
    </row>
    <row r="363" spans="1:7" ht="14.25" customHeight="1" x14ac:dyDescent="0.2">
      <c r="A363" s="307" t="s">
        <v>212</v>
      </c>
      <c r="B363" s="307">
        <v>2019</v>
      </c>
      <c r="C363" s="307">
        <v>0</v>
      </c>
      <c r="D363" s="307">
        <v>1</v>
      </c>
      <c r="E363" s="307">
        <v>0</v>
      </c>
      <c r="F363" s="363">
        <v>-9.4842777428705109E-3</v>
      </c>
      <c r="G363" s="363">
        <v>0.14703952238172782</v>
      </c>
    </row>
    <row r="364" spans="1:7" ht="14.25" customHeight="1" x14ac:dyDescent="0.2">
      <c r="A364" s="307" t="s">
        <v>215</v>
      </c>
      <c r="B364" s="307">
        <v>2017</v>
      </c>
      <c r="C364" s="307">
        <v>0</v>
      </c>
      <c r="D364" s="307">
        <v>1</v>
      </c>
      <c r="E364" s="307">
        <v>1</v>
      </c>
      <c r="F364" s="363">
        <v>7.1086108179330421E-2</v>
      </c>
      <c r="G364" s="363">
        <v>0.27404847480137434</v>
      </c>
    </row>
    <row r="365" spans="1:7" ht="14.25" customHeight="1" x14ac:dyDescent="0.2">
      <c r="A365" s="307" t="s">
        <v>215</v>
      </c>
      <c r="B365" s="307">
        <v>2018</v>
      </c>
      <c r="C365" s="307">
        <v>0</v>
      </c>
      <c r="D365" s="307">
        <v>1</v>
      </c>
      <c r="E365" s="307">
        <v>1</v>
      </c>
      <c r="F365" s="363">
        <v>-2.1297891405727777E-2</v>
      </c>
      <c r="G365" s="363">
        <v>0.33330139449827395</v>
      </c>
    </row>
    <row r="366" spans="1:7" ht="14.25" customHeight="1" x14ac:dyDescent="0.2">
      <c r="A366" s="307" t="s">
        <v>215</v>
      </c>
      <c r="B366" s="307">
        <v>2019</v>
      </c>
      <c r="C366" s="307">
        <v>0</v>
      </c>
      <c r="D366" s="307">
        <v>1</v>
      </c>
      <c r="E366" s="307">
        <v>1</v>
      </c>
      <c r="F366" s="363">
        <v>5.8668077979239806E-2</v>
      </c>
      <c r="G366" s="363">
        <v>0.25023472403601504</v>
      </c>
    </row>
    <row r="367" spans="1:7" ht="14.25" customHeight="1" x14ac:dyDescent="0.2">
      <c r="A367" s="307" t="s">
        <v>391</v>
      </c>
      <c r="B367" s="307">
        <v>2017</v>
      </c>
      <c r="C367" s="307">
        <v>1</v>
      </c>
      <c r="D367" s="307">
        <v>1</v>
      </c>
      <c r="E367" s="307">
        <v>1</v>
      </c>
      <c r="F367" s="363">
        <v>0.32272834642166359</v>
      </c>
      <c r="G367" s="363">
        <v>1.5086071004215238</v>
      </c>
    </row>
    <row r="368" spans="1:7" ht="14.25" customHeight="1" x14ac:dyDescent="0.2">
      <c r="A368" s="307" t="s">
        <v>391</v>
      </c>
      <c r="B368" s="307">
        <v>2018</v>
      </c>
      <c r="C368" s="307">
        <v>1</v>
      </c>
      <c r="D368" s="307">
        <v>1</v>
      </c>
      <c r="E368" s="307">
        <v>0</v>
      </c>
      <c r="F368" s="363">
        <v>0.1952355172309041</v>
      </c>
      <c r="G368" s="363">
        <v>8.9206300593182505E-2</v>
      </c>
    </row>
    <row r="369" spans="1:7" ht="14.25" customHeight="1" x14ac:dyDescent="0.2">
      <c r="A369" s="307" t="s">
        <v>391</v>
      </c>
      <c r="B369" s="307">
        <v>2019</v>
      </c>
      <c r="C369" s="307">
        <v>1</v>
      </c>
      <c r="D369" s="307">
        <v>1</v>
      </c>
      <c r="E369" s="307">
        <v>1</v>
      </c>
      <c r="F369" s="363">
        <v>0.75212788756537019</v>
      </c>
      <c r="G369" s="363">
        <v>0.13203259846444734</v>
      </c>
    </row>
    <row r="370" spans="1:7" ht="14.25" customHeight="1" x14ac:dyDescent="0.2">
      <c r="A370" s="307" t="s">
        <v>325</v>
      </c>
      <c r="B370" s="307">
        <v>2017</v>
      </c>
      <c r="C370" s="307">
        <v>1</v>
      </c>
      <c r="D370" s="307">
        <v>1</v>
      </c>
      <c r="E370" s="307">
        <v>0</v>
      </c>
      <c r="F370" s="363">
        <v>0.102490265015086</v>
      </c>
      <c r="G370" s="363">
        <v>0.27769052251576454</v>
      </c>
    </row>
    <row r="371" spans="1:7" ht="14.25" customHeight="1" x14ac:dyDescent="0.2">
      <c r="A371" s="307" t="s">
        <v>325</v>
      </c>
      <c r="B371" s="307">
        <v>2018</v>
      </c>
      <c r="C371" s="307">
        <v>1</v>
      </c>
      <c r="D371" s="307">
        <v>1</v>
      </c>
      <c r="E371" s="307">
        <v>0</v>
      </c>
      <c r="F371" s="363">
        <v>1.971057884231537E-2</v>
      </c>
      <c r="G371" s="363">
        <v>0.2849883257794259</v>
      </c>
    </row>
    <row r="372" spans="1:7" ht="14.25" customHeight="1" x14ac:dyDescent="0.2">
      <c r="A372" s="307" t="s">
        <v>325</v>
      </c>
      <c r="B372" s="307">
        <v>2019</v>
      </c>
      <c r="C372" s="307">
        <v>1</v>
      </c>
      <c r="D372" s="307">
        <v>1</v>
      </c>
      <c r="E372" s="307">
        <v>0</v>
      </c>
      <c r="F372" s="363">
        <v>3.6571751896256423E-2</v>
      </c>
      <c r="G372" s="363">
        <v>0.27297668038408779</v>
      </c>
    </row>
    <row r="373" spans="1:7" ht="14.25" customHeight="1" x14ac:dyDescent="0.2">
      <c r="A373" s="307" t="s">
        <v>329</v>
      </c>
      <c r="B373" s="307">
        <v>2017</v>
      </c>
      <c r="C373" s="307">
        <v>0</v>
      </c>
      <c r="D373" s="307">
        <v>1</v>
      </c>
      <c r="E373" s="307">
        <v>0</v>
      </c>
      <c r="F373" s="363">
        <v>0.13993566470798025</v>
      </c>
      <c r="G373" s="363">
        <v>2.1193601739705765</v>
      </c>
    </row>
    <row r="374" spans="1:7" ht="14.25" customHeight="1" x14ac:dyDescent="0.2">
      <c r="A374" s="307" t="s">
        <v>329</v>
      </c>
      <c r="B374" s="307">
        <v>2018</v>
      </c>
      <c r="C374" s="307">
        <v>0</v>
      </c>
      <c r="D374" s="307">
        <v>1</v>
      </c>
      <c r="E374" s="307">
        <v>0</v>
      </c>
      <c r="F374" s="363">
        <v>0.15947434902078189</v>
      </c>
      <c r="G374" s="363">
        <v>-2.3625715940536716</v>
      </c>
    </row>
    <row r="375" spans="1:7" ht="14.25" customHeight="1" x14ac:dyDescent="0.2">
      <c r="A375" s="307" t="s">
        <v>329</v>
      </c>
      <c r="B375" s="307">
        <v>2019</v>
      </c>
      <c r="C375" s="307">
        <v>0</v>
      </c>
      <c r="D375" s="307">
        <v>1</v>
      </c>
      <c r="E375" s="307">
        <v>0</v>
      </c>
      <c r="F375" s="363">
        <v>8.2872235189148297E-2</v>
      </c>
      <c r="G375" s="363">
        <v>0.28871866864752144</v>
      </c>
    </row>
    <row r="376" spans="1:7" ht="14.25" customHeight="1" x14ac:dyDescent="0.2">
      <c r="A376" s="307" t="s">
        <v>397</v>
      </c>
      <c r="B376" s="307">
        <v>2017</v>
      </c>
      <c r="C376" s="307">
        <v>1</v>
      </c>
      <c r="D376" s="307">
        <v>1</v>
      </c>
      <c r="E376" s="307">
        <v>1</v>
      </c>
      <c r="F376" s="363">
        <v>0.20489859606432004</v>
      </c>
      <c r="G376" s="363">
        <v>0.2192624276758729</v>
      </c>
    </row>
    <row r="377" spans="1:7" ht="14.25" customHeight="1" x14ac:dyDescent="0.2">
      <c r="A377" s="307" t="s">
        <v>397</v>
      </c>
      <c r="B377" s="307">
        <v>2018</v>
      </c>
      <c r="C377" s="307">
        <v>1</v>
      </c>
      <c r="D377" s="307">
        <v>1</v>
      </c>
      <c r="E377" s="307">
        <v>0</v>
      </c>
      <c r="F377" s="363">
        <v>0.80741810402380487</v>
      </c>
      <c r="G377" s="363">
        <v>0.27841471434347587</v>
      </c>
    </row>
    <row r="378" spans="1:7" ht="14.25" customHeight="1" x14ac:dyDescent="0.2">
      <c r="A378" s="307" t="s">
        <v>397</v>
      </c>
      <c r="B378" s="307">
        <v>2019</v>
      </c>
      <c r="C378" s="307">
        <v>1</v>
      </c>
      <c r="D378" s="307">
        <v>1</v>
      </c>
      <c r="E378" s="307">
        <v>0</v>
      </c>
      <c r="F378" s="363">
        <v>-3.4413793103448276E-2</v>
      </c>
      <c r="G378" s="363">
        <v>0.2798877026653192</v>
      </c>
    </row>
    <row r="379" spans="1:7" ht="14.25" customHeight="1" x14ac:dyDescent="0.2">
      <c r="A379" s="307" t="s">
        <v>857</v>
      </c>
      <c r="B379" s="307">
        <v>2017</v>
      </c>
      <c r="C379" s="307">
        <v>0</v>
      </c>
      <c r="D379" s="307">
        <v>1</v>
      </c>
      <c r="E379" s="307">
        <v>0</v>
      </c>
      <c r="F379" s="363">
        <v>0.18111563258603672</v>
      </c>
      <c r="G379" s="363">
        <v>-2.7097410316443454E-2</v>
      </c>
    </row>
    <row r="380" spans="1:7" ht="14.25" customHeight="1" x14ac:dyDescent="0.2">
      <c r="A380" s="307" t="s">
        <v>857</v>
      </c>
      <c r="B380" s="307">
        <v>2018</v>
      </c>
      <c r="C380" s="307">
        <v>0</v>
      </c>
      <c r="D380" s="307">
        <v>1</v>
      </c>
      <c r="E380" s="307">
        <v>0</v>
      </c>
      <c r="F380" s="363">
        <v>-0.17587647932563483</v>
      </c>
      <c r="G380" s="363">
        <v>-3.6056383698885623</v>
      </c>
    </row>
    <row r="381" spans="1:7" ht="14.25" customHeight="1" x14ac:dyDescent="0.2">
      <c r="A381" s="307" t="s">
        <v>857</v>
      </c>
      <c r="B381" s="307">
        <v>2019</v>
      </c>
      <c r="C381" s="307">
        <v>0</v>
      </c>
      <c r="D381" s="307">
        <v>1</v>
      </c>
      <c r="E381" s="307">
        <v>1</v>
      </c>
      <c r="F381" s="363">
        <v>-0.42176870816371037</v>
      </c>
      <c r="G381" s="363">
        <v>-1.1506745361786016E-5</v>
      </c>
    </row>
    <row r="382" spans="1:7" ht="14.25" customHeight="1" x14ac:dyDescent="0.2">
      <c r="A382" s="307" t="s">
        <v>502</v>
      </c>
      <c r="B382" s="307">
        <v>2017</v>
      </c>
      <c r="C382" s="307">
        <v>0</v>
      </c>
      <c r="D382" s="307">
        <v>1</v>
      </c>
      <c r="E382" s="307">
        <v>0</v>
      </c>
      <c r="F382" s="363">
        <v>4.690952500152195E-2</v>
      </c>
      <c r="G382" s="363">
        <v>1.1989411972299189</v>
      </c>
    </row>
    <row r="383" spans="1:7" ht="14.25" customHeight="1" x14ac:dyDescent="0.2">
      <c r="A383" s="307" t="s">
        <v>502</v>
      </c>
      <c r="B383" s="307">
        <v>2018</v>
      </c>
      <c r="C383" s="307">
        <v>0</v>
      </c>
      <c r="D383" s="307">
        <v>1</v>
      </c>
      <c r="E383" s="307">
        <v>0</v>
      </c>
      <c r="F383" s="363">
        <v>0.1171922741031092</v>
      </c>
      <c r="G383" s="363">
        <v>0.56131378547542665</v>
      </c>
    </row>
    <row r="384" spans="1:7" ht="14.25" customHeight="1" x14ac:dyDescent="0.2">
      <c r="A384" s="307" t="s">
        <v>502</v>
      </c>
      <c r="B384" s="307">
        <v>2019</v>
      </c>
      <c r="C384" s="307">
        <v>0</v>
      </c>
      <c r="D384" s="307">
        <v>1</v>
      </c>
      <c r="E384" s="307">
        <v>0</v>
      </c>
      <c r="F384" s="363">
        <v>-2.463923095073375E-2</v>
      </c>
      <c r="G384" s="363">
        <v>1.051538134915311</v>
      </c>
    </row>
    <row r="385" spans="1:7" ht="14.25" customHeight="1" x14ac:dyDescent="0.2">
      <c r="A385" s="307" t="s">
        <v>219</v>
      </c>
      <c r="B385" s="307">
        <v>2017</v>
      </c>
      <c r="C385" s="307">
        <v>1</v>
      </c>
      <c r="D385" s="307">
        <v>1</v>
      </c>
      <c r="E385" s="307">
        <v>1</v>
      </c>
      <c r="F385" s="363">
        <v>4.6751135710599544E-2</v>
      </c>
      <c r="G385" s="363">
        <v>0.72384202731722613</v>
      </c>
    </row>
    <row r="386" spans="1:7" ht="14.25" customHeight="1" x14ac:dyDescent="0.2">
      <c r="A386" s="307" t="s">
        <v>219</v>
      </c>
      <c r="B386" s="307">
        <v>2018</v>
      </c>
      <c r="C386" s="307">
        <v>1</v>
      </c>
      <c r="D386" s="307">
        <v>1</v>
      </c>
      <c r="E386" s="307">
        <v>1</v>
      </c>
      <c r="F386" s="363">
        <v>5.4639993667982473E-2</v>
      </c>
      <c r="G386" s="363">
        <v>0.72344010163659289</v>
      </c>
    </row>
    <row r="387" spans="1:7" ht="14.25" customHeight="1" x14ac:dyDescent="0.2">
      <c r="A387" s="307" t="s">
        <v>219</v>
      </c>
      <c r="B387" s="307">
        <v>2019</v>
      </c>
      <c r="C387" s="307">
        <v>1</v>
      </c>
      <c r="D387" s="307">
        <v>1</v>
      </c>
      <c r="E387" s="307">
        <v>1</v>
      </c>
      <c r="F387" s="363">
        <v>8.9781181423392364E-2</v>
      </c>
      <c r="G387" s="363">
        <v>0.76361691752098781</v>
      </c>
    </row>
    <row r="388" spans="1:7" ht="14.25" customHeight="1" x14ac:dyDescent="0.2">
      <c r="A388" s="307" t="s">
        <v>506</v>
      </c>
      <c r="B388" s="307">
        <v>2017</v>
      </c>
      <c r="C388" s="307">
        <v>1</v>
      </c>
      <c r="D388" s="307">
        <v>1</v>
      </c>
      <c r="E388" s="307">
        <v>0</v>
      </c>
      <c r="F388" s="363">
        <v>0.12511860424317509</v>
      </c>
      <c r="G388" s="363">
        <v>0.29338855474578251</v>
      </c>
    </row>
    <row r="389" spans="1:7" ht="14.25" customHeight="1" x14ac:dyDescent="0.2">
      <c r="A389" s="307" t="s">
        <v>506</v>
      </c>
      <c r="B389" s="307">
        <v>2018</v>
      </c>
      <c r="C389" s="307">
        <v>1</v>
      </c>
      <c r="D389" s="307">
        <v>1</v>
      </c>
      <c r="E389" s="307">
        <v>0</v>
      </c>
      <c r="F389" s="363">
        <v>0.16811679399265531</v>
      </c>
      <c r="G389" s="363">
        <v>0.15177700496015872</v>
      </c>
    </row>
    <row r="390" spans="1:7" ht="14.25" customHeight="1" x14ac:dyDescent="0.2">
      <c r="A390" s="307" t="s">
        <v>506</v>
      </c>
      <c r="B390" s="307">
        <v>2019</v>
      </c>
      <c r="C390" s="307">
        <v>1</v>
      </c>
      <c r="D390" s="307">
        <v>1</v>
      </c>
      <c r="E390" s="307">
        <v>0</v>
      </c>
      <c r="F390" s="363">
        <v>-0.11239650130025318</v>
      </c>
      <c r="G390" s="363">
        <v>0.55264768119447016</v>
      </c>
    </row>
    <row r="391" spans="1:7" ht="14.25" customHeight="1" x14ac:dyDescent="0.2">
      <c r="A391" s="307" t="s">
        <v>131</v>
      </c>
      <c r="B391" s="307">
        <v>2017</v>
      </c>
      <c r="C391" s="307">
        <v>0</v>
      </c>
      <c r="D391" s="307">
        <v>1</v>
      </c>
      <c r="E391" s="307">
        <v>0</v>
      </c>
      <c r="F391" s="363">
        <v>-3.8605482595684762E-2</v>
      </c>
      <c r="G391" s="363">
        <v>-9.4464551474590028E-2</v>
      </c>
    </row>
    <row r="392" spans="1:7" ht="14.25" customHeight="1" x14ac:dyDescent="0.2">
      <c r="A392" s="307" t="s">
        <v>131</v>
      </c>
      <c r="B392" s="307">
        <v>2018</v>
      </c>
      <c r="C392" s="307">
        <v>0</v>
      </c>
      <c r="D392" s="307">
        <v>1</v>
      </c>
      <c r="E392" s="307">
        <v>0</v>
      </c>
      <c r="F392" s="363">
        <v>0.29706137025299423</v>
      </c>
      <c r="G392" s="363">
        <v>-2.0444405037799804E-2</v>
      </c>
    </row>
    <row r="393" spans="1:7" ht="14.25" customHeight="1" x14ac:dyDescent="0.2">
      <c r="A393" s="307" t="s">
        <v>131</v>
      </c>
      <c r="B393" s="307">
        <v>2019</v>
      </c>
      <c r="C393" s="307">
        <v>0</v>
      </c>
      <c r="D393" s="307">
        <v>1</v>
      </c>
      <c r="E393" s="307">
        <v>0</v>
      </c>
      <c r="F393" s="363">
        <v>1.648547012050168E-2</v>
      </c>
      <c r="G393" s="363">
        <v>-5.4452752847603163E-3</v>
      </c>
    </row>
    <row r="394" spans="1:7" ht="14.25" customHeight="1" x14ac:dyDescent="0.2">
      <c r="A394" s="307" t="s">
        <v>860</v>
      </c>
      <c r="B394" s="307">
        <v>2017</v>
      </c>
      <c r="C394" s="307">
        <v>1</v>
      </c>
      <c r="D394" s="307">
        <v>1</v>
      </c>
      <c r="E394" s="307">
        <v>1</v>
      </c>
      <c r="F394" s="363">
        <v>0.41766105089417616</v>
      </c>
      <c r="G394" s="363">
        <v>0.15491325052218274</v>
      </c>
    </row>
    <row r="395" spans="1:7" ht="14.25" customHeight="1" x14ac:dyDescent="0.2">
      <c r="A395" s="307" t="s">
        <v>860</v>
      </c>
      <c r="B395" s="307">
        <v>2018</v>
      </c>
      <c r="C395" s="307">
        <v>1</v>
      </c>
      <c r="D395" s="307">
        <v>1</v>
      </c>
      <c r="E395" s="307">
        <v>1</v>
      </c>
      <c r="F395" s="363">
        <v>0.3108081846857963</v>
      </c>
      <c r="G395" s="363">
        <v>0.2070841040571163</v>
      </c>
    </row>
    <row r="396" spans="1:7" ht="14.25" customHeight="1" x14ac:dyDescent="0.2">
      <c r="A396" s="307" t="s">
        <v>860</v>
      </c>
      <c r="B396" s="307">
        <v>2019</v>
      </c>
      <c r="C396" s="307">
        <v>1</v>
      </c>
      <c r="D396" s="307">
        <v>1</v>
      </c>
      <c r="E396" s="307">
        <v>1</v>
      </c>
      <c r="F396" s="363">
        <v>-2.2954873015670254E-3</v>
      </c>
      <c r="G396" s="363">
        <v>0.39682901307336715</v>
      </c>
    </row>
    <row r="397" spans="1:7" ht="14.25" customHeight="1" x14ac:dyDescent="0.2">
      <c r="A397" s="307" t="s">
        <v>223</v>
      </c>
      <c r="B397" s="307">
        <v>2017</v>
      </c>
      <c r="C397" s="307">
        <v>1</v>
      </c>
      <c r="D397" s="307">
        <v>1</v>
      </c>
      <c r="E397" s="307">
        <v>1</v>
      </c>
      <c r="F397" s="363">
        <v>2.8730855841348317E-2</v>
      </c>
      <c r="G397" s="363">
        <v>0.2567366659976284</v>
      </c>
    </row>
    <row r="398" spans="1:7" ht="14.25" customHeight="1" x14ac:dyDescent="0.2">
      <c r="A398" s="307" t="s">
        <v>223</v>
      </c>
      <c r="B398" s="307">
        <v>2018</v>
      </c>
      <c r="C398" s="307">
        <v>1</v>
      </c>
      <c r="D398" s="307">
        <v>1</v>
      </c>
      <c r="E398" s="307">
        <v>1</v>
      </c>
      <c r="F398" s="363">
        <v>1.4502368794095598E-2</v>
      </c>
      <c r="G398" s="363">
        <v>0.1926711588417172</v>
      </c>
    </row>
    <row r="399" spans="1:7" ht="14.25" customHeight="1" x14ac:dyDescent="0.2">
      <c r="A399" s="307" t="s">
        <v>223</v>
      </c>
      <c r="B399" s="307">
        <v>2019</v>
      </c>
      <c r="C399" s="307">
        <v>1</v>
      </c>
      <c r="D399" s="307">
        <v>1</v>
      </c>
      <c r="E399" s="307">
        <v>1</v>
      </c>
      <c r="F399" s="363">
        <v>2.6804651530080818E-2</v>
      </c>
      <c r="G399" s="363">
        <v>0.31514268355199454</v>
      </c>
    </row>
    <row r="400" spans="1:7" ht="14.25" customHeight="1" x14ac:dyDescent="0.2">
      <c r="A400" s="307" t="s">
        <v>595</v>
      </c>
      <c r="B400" s="307">
        <v>2017</v>
      </c>
      <c r="C400" s="307">
        <v>1</v>
      </c>
      <c r="D400" s="307">
        <v>1</v>
      </c>
      <c r="E400" s="307">
        <v>1</v>
      </c>
      <c r="F400" s="363">
        <v>0.11667935780588229</v>
      </c>
      <c r="G400" s="363">
        <v>0.30191821581748202</v>
      </c>
    </row>
    <row r="401" spans="1:7" ht="14.25" customHeight="1" x14ac:dyDescent="0.2">
      <c r="A401" s="307" t="s">
        <v>595</v>
      </c>
      <c r="B401" s="307">
        <v>2018</v>
      </c>
      <c r="C401" s="307">
        <v>1</v>
      </c>
      <c r="D401" s="307">
        <v>1</v>
      </c>
      <c r="E401" s="307">
        <v>1</v>
      </c>
      <c r="F401" s="363">
        <v>0.18868144080918431</v>
      </c>
      <c r="G401" s="363">
        <v>0.49328539192447068</v>
      </c>
    </row>
    <row r="402" spans="1:7" ht="14.25" customHeight="1" x14ac:dyDescent="0.2">
      <c r="A402" s="307" t="s">
        <v>595</v>
      </c>
      <c r="B402" s="307">
        <v>2019</v>
      </c>
      <c r="C402" s="307">
        <v>1</v>
      </c>
      <c r="D402" s="307">
        <v>1</v>
      </c>
      <c r="E402" s="307">
        <v>1</v>
      </c>
      <c r="F402" s="363">
        <v>-5.4883720931304374E-3</v>
      </c>
      <c r="G402" s="363">
        <v>0.13073783951321111</v>
      </c>
    </row>
    <row r="403" spans="1:7" ht="14.25" customHeight="1" x14ac:dyDescent="0.2">
      <c r="A403" s="307" t="s">
        <v>337</v>
      </c>
      <c r="B403" s="307">
        <v>2017</v>
      </c>
      <c r="C403" s="307">
        <v>0</v>
      </c>
      <c r="D403" s="307">
        <v>1</v>
      </c>
      <c r="E403" s="307">
        <v>0</v>
      </c>
      <c r="F403" s="363">
        <v>-0.30385268570060953</v>
      </c>
      <c r="G403" s="363">
        <v>-5.3752949833985883E-3</v>
      </c>
    </row>
    <row r="404" spans="1:7" ht="14.25" customHeight="1" x14ac:dyDescent="0.2">
      <c r="A404" s="307" t="s">
        <v>337</v>
      </c>
      <c r="B404" s="307">
        <v>2018</v>
      </c>
      <c r="C404" s="307">
        <v>0</v>
      </c>
      <c r="D404" s="307">
        <v>1</v>
      </c>
      <c r="E404" s="307">
        <v>0</v>
      </c>
      <c r="F404" s="363">
        <v>8.2321637165480549E-2</v>
      </c>
      <c r="G404" s="363">
        <v>-3.9531752242903933E-4</v>
      </c>
    </row>
    <row r="405" spans="1:7" ht="14.25" customHeight="1" x14ac:dyDescent="0.2">
      <c r="A405" s="307" t="s">
        <v>337</v>
      </c>
      <c r="B405" s="307">
        <v>2019</v>
      </c>
      <c r="C405" s="307">
        <v>0</v>
      </c>
      <c r="D405" s="307">
        <v>1</v>
      </c>
      <c r="E405" s="307">
        <v>0</v>
      </c>
      <c r="F405" s="363">
        <v>-0.13693181646889316</v>
      </c>
      <c r="G405" s="363">
        <v>-1.264497082422332E-2</v>
      </c>
    </row>
    <row r="406" spans="1:7" ht="14.25" customHeight="1" x14ac:dyDescent="0.2"/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6"/>
  <sheetViews>
    <sheetView tabSelected="1" workbookViewId="0">
      <selection activeCell="G143" sqref="G143"/>
    </sheetView>
  </sheetViews>
  <sheetFormatPr defaultRowHeight="14.25" x14ac:dyDescent="0.2"/>
  <cols>
    <col min="1" max="5" width="9" style="307"/>
    <col min="6" max="7" width="10.875" style="366" bestFit="1" customWidth="1"/>
    <col min="8" max="8" width="9.25" style="326" bestFit="1" customWidth="1"/>
    <col min="9" max="9" width="10.625" style="326" bestFit="1" customWidth="1"/>
    <col min="10" max="10" width="9.25" style="326" bestFit="1" customWidth="1"/>
  </cols>
  <sheetData>
    <row r="1" spans="1:10" x14ac:dyDescent="0.2">
      <c r="A1" s="358" t="s">
        <v>7</v>
      </c>
      <c r="B1" s="358" t="s">
        <v>1050</v>
      </c>
      <c r="C1" s="358" t="s">
        <v>1051</v>
      </c>
      <c r="D1" s="358" t="s">
        <v>1052</v>
      </c>
      <c r="E1" s="358" t="s">
        <v>1053</v>
      </c>
      <c r="F1" s="367" t="s">
        <v>1054</v>
      </c>
      <c r="G1" s="367" t="s">
        <v>1055</v>
      </c>
      <c r="H1" s="368" t="s">
        <v>1056</v>
      </c>
      <c r="I1" s="368" t="s">
        <v>1057</v>
      </c>
      <c r="J1" s="368" t="s">
        <v>1058</v>
      </c>
    </row>
    <row r="2" spans="1:10" x14ac:dyDescent="0.2">
      <c r="A2" s="570">
        <v>2017</v>
      </c>
      <c r="B2" s="570">
        <v>1</v>
      </c>
      <c r="C2" s="570">
        <v>1</v>
      </c>
      <c r="D2" s="570">
        <v>1</v>
      </c>
      <c r="E2" s="570">
        <v>1</v>
      </c>
      <c r="F2" s="571">
        <v>0.31765234362371342</v>
      </c>
      <c r="G2" s="571">
        <v>0.22549604592301004</v>
      </c>
      <c r="H2" s="572">
        <f>C2*G2</f>
        <v>0.22549604592301004</v>
      </c>
      <c r="I2" s="572">
        <f>D2*G2</f>
        <v>0.22549604592301004</v>
      </c>
      <c r="J2" s="572">
        <f>G2*E2</f>
        <v>0.22549604592301004</v>
      </c>
    </row>
    <row r="3" spans="1:10" x14ac:dyDescent="0.2">
      <c r="A3" s="570">
        <v>2018</v>
      </c>
      <c r="B3" s="570">
        <v>1</v>
      </c>
      <c r="C3" s="570">
        <v>1</v>
      </c>
      <c r="D3" s="570">
        <v>1</v>
      </c>
      <c r="E3" s="570">
        <v>0</v>
      </c>
      <c r="F3" s="571">
        <v>0.49422404262645669</v>
      </c>
      <c r="G3" s="571">
        <v>0.10278117807278161</v>
      </c>
      <c r="H3" s="572">
        <f>C3*G3</f>
        <v>0.10278117807278161</v>
      </c>
      <c r="I3" s="572">
        <f>D3*G3</f>
        <v>0.10278117807278161</v>
      </c>
      <c r="J3" s="572">
        <f>G3*E3</f>
        <v>0</v>
      </c>
    </row>
    <row r="4" spans="1:10" x14ac:dyDescent="0.2">
      <c r="A4" s="570">
        <v>2019</v>
      </c>
      <c r="B4" s="570">
        <v>1</v>
      </c>
      <c r="C4" s="570">
        <v>1</v>
      </c>
      <c r="D4" s="570">
        <v>1</v>
      </c>
      <c r="E4" s="570">
        <v>1</v>
      </c>
      <c r="F4" s="571">
        <v>0.35309899222225583</v>
      </c>
      <c r="G4" s="571">
        <v>-8.5496641836072598E-2</v>
      </c>
      <c r="H4" s="572">
        <f>C4*G4</f>
        <v>-8.5496641836072598E-2</v>
      </c>
      <c r="I4" s="572">
        <f>D4*G4</f>
        <v>-8.5496641836072598E-2</v>
      </c>
      <c r="J4" s="572">
        <f>G4*E4</f>
        <v>-8.5496641836072598E-2</v>
      </c>
    </row>
    <row r="5" spans="1:10" x14ac:dyDescent="0.2">
      <c r="A5" s="570">
        <v>2017</v>
      </c>
      <c r="B5" s="570">
        <v>3</v>
      </c>
      <c r="C5" s="570">
        <v>0</v>
      </c>
      <c r="D5" s="570">
        <v>1</v>
      </c>
      <c r="E5" s="570">
        <v>1</v>
      </c>
      <c r="F5" s="571">
        <v>2.7549035241588263E-2</v>
      </c>
      <c r="G5" s="571">
        <v>0.68728295732111777</v>
      </c>
      <c r="H5" s="572">
        <f>C5*G5</f>
        <v>0</v>
      </c>
      <c r="I5" s="572">
        <f>D5*G5</f>
        <v>0.68728295732111777</v>
      </c>
      <c r="J5" s="572">
        <f>G5*E5</f>
        <v>0.68728295732111777</v>
      </c>
    </row>
    <row r="6" spans="1:10" x14ac:dyDescent="0.2">
      <c r="A6" s="570">
        <v>2018</v>
      </c>
      <c r="B6" s="570">
        <v>3</v>
      </c>
      <c r="C6" s="570">
        <v>0</v>
      </c>
      <c r="D6" s="570">
        <v>1</v>
      </c>
      <c r="E6" s="570">
        <v>0</v>
      </c>
      <c r="F6" s="571">
        <v>7.5349717176836418E-4</v>
      </c>
      <c r="G6" s="571">
        <v>0.23069360344553613</v>
      </c>
      <c r="H6" s="572">
        <f>C6*G6</f>
        <v>0</v>
      </c>
      <c r="I6" s="572">
        <f>D6*G6</f>
        <v>0.23069360344553613</v>
      </c>
      <c r="J6" s="572">
        <f>G6*E6</f>
        <v>0</v>
      </c>
    </row>
    <row r="7" spans="1:10" x14ac:dyDescent="0.2">
      <c r="A7" s="570">
        <v>2019</v>
      </c>
      <c r="B7" s="570">
        <v>3</v>
      </c>
      <c r="C7" s="570">
        <v>0</v>
      </c>
      <c r="D7" s="570">
        <v>1</v>
      </c>
      <c r="E7" s="570">
        <v>1</v>
      </c>
      <c r="F7" s="571">
        <v>1.0942008369027657E-3</v>
      </c>
      <c r="G7" s="571">
        <v>5.9559562515300798E-2</v>
      </c>
      <c r="H7" s="572">
        <f>C7*G7</f>
        <v>0</v>
      </c>
      <c r="I7" s="572">
        <f>D7*G7</f>
        <v>5.9559562515300798E-2</v>
      </c>
      <c r="J7" s="572">
        <f>G7*E7</f>
        <v>5.9559562515300798E-2</v>
      </c>
    </row>
    <row r="8" spans="1:10" x14ac:dyDescent="0.2">
      <c r="A8" s="570">
        <v>2017</v>
      </c>
      <c r="B8" s="570">
        <v>4</v>
      </c>
      <c r="C8" s="570">
        <v>0</v>
      </c>
      <c r="D8" s="570">
        <v>1</v>
      </c>
      <c r="E8" s="570">
        <v>1</v>
      </c>
      <c r="F8" s="571">
        <v>0.5545398701065376</v>
      </c>
      <c r="G8" s="571">
        <v>0.29281877050934052</v>
      </c>
      <c r="H8" s="572">
        <f>C8*G8</f>
        <v>0</v>
      </c>
      <c r="I8" s="572">
        <f>D8*G8</f>
        <v>0.29281877050934052</v>
      </c>
      <c r="J8" s="572">
        <f>G8*E8</f>
        <v>0.29281877050934052</v>
      </c>
    </row>
    <row r="9" spans="1:10" x14ac:dyDescent="0.2">
      <c r="A9" s="570">
        <v>2018</v>
      </c>
      <c r="B9" s="570">
        <v>4</v>
      </c>
      <c r="C9" s="570">
        <v>0</v>
      </c>
      <c r="D9" s="570">
        <v>1</v>
      </c>
      <c r="E9" s="570">
        <v>1</v>
      </c>
      <c r="F9" s="571">
        <v>0.49618269472032817</v>
      </c>
      <c r="G9" s="571">
        <v>0.18714396651730394</v>
      </c>
      <c r="H9" s="572">
        <f>C9*G9</f>
        <v>0</v>
      </c>
      <c r="I9" s="572">
        <f>D9*G9</f>
        <v>0.18714396651730394</v>
      </c>
      <c r="J9" s="572">
        <f>G9*E9</f>
        <v>0.18714396651730394</v>
      </c>
    </row>
    <row r="10" spans="1:10" x14ac:dyDescent="0.2">
      <c r="A10" s="570">
        <v>2019</v>
      </c>
      <c r="B10" s="570">
        <v>4</v>
      </c>
      <c r="C10" s="570">
        <v>0</v>
      </c>
      <c r="D10" s="570">
        <v>1</v>
      </c>
      <c r="E10" s="570">
        <v>1</v>
      </c>
      <c r="F10" s="571">
        <v>0.4656980775387155</v>
      </c>
      <c r="G10" s="571">
        <v>-7.7787334676545056E-2</v>
      </c>
      <c r="H10" s="572">
        <f>C10*G10</f>
        <v>0</v>
      </c>
      <c r="I10" s="572">
        <f>D10*G10</f>
        <v>-7.7787334676545056E-2</v>
      </c>
      <c r="J10" s="572">
        <f>G10*E10</f>
        <v>-7.7787334676545056E-2</v>
      </c>
    </row>
    <row r="11" spans="1:10" x14ac:dyDescent="0.2">
      <c r="A11" s="570">
        <v>2018</v>
      </c>
      <c r="B11" s="570">
        <v>5</v>
      </c>
      <c r="C11" s="570">
        <v>1</v>
      </c>
      <c r="D11" s="570">
        <v>1</v>
      </c>
      <c r="E11" s="570">
        <v>1</v>
      </c>
      <c r="F11" s="571">
        <v>0.64139529427256359</v>
      </c>
      <c r="G11" s="571">
        <v>0.28763271683785674</v>
      </c>
      <c r="H11" s="572">
        <f>C11*G11</f>
        <v>0.28763271683785674</v>
      </c>
      <c r="I11" s="572">
        <f>D11*G11</f>
        <v>0.28763271683785674</v>
      </c>
      <c r="J11" s="572">
        <f>G11*E11</f>
        <v>0.28763271683785674</v>
      </c>
    </row>
    <row r="12" spans="1:10" x14ac:dyDescent="0.2">
      <c r="A12" s="570">
        <v>2017</v>
      </c>
      <c r="B12" s="570">
        <v>5</v>
      </c>
      <c r="C12" s="570">
        <v>1</v>
      </c>
      <c r="D12" s="570">
        <v>1</v>
      </c>
      <c r="E12" s="570">
        <v>1</v>
      </c>
      <c r="F12" s="571">
        <v>0.51807717661655306</v>
      </c>
      <c r="G12" s="571">
        <v>0.2021578489456734</v>
      </c>
      <c r="H12" s="572">
        <f>C12*G12</f>
        <v>0.2021578489456734</v>
      </c>
      <c r="I12" s="572">
        <f>D12*G12</f>
        <v>0.2021578489456734</v>
      </c>
      <c r="J12" s="572">
        <f>G12*E12</f>
        <v>0.2021578489456734</v>
      </c>
    </row>
    <row r="13" spans="1:10" x14ac:dyDescent="0.2">
      <c r="A13" s="570">
        <v>2019</v>
      </c>
      <c r="B13" s="570">
        <v>5</v>
      </c>
      <c r="C13" s="570">
        <v>1</v>
      </c>
      <c r="D13" s="570">
        <v>1</v>
      </c>
      <c r="E13" s="570">
        <v>1</v>
      </c>
      <c r="F13" s="571">
        <v>0.64678419590020797</v>
      </c>
      <c r="G13" s="571">
        <v>-7.8371634504635218E-2</v>
      </c>
      <c r="H13" s="572">
        <f>C13*G13</f>
        <v>-7.8371634504635218E-2</v>
      </c>
      <c r="I13" s="572">
        <f>D13*G13</f>
        <v>-7.8371634504635218E-2</v>
      </c>
      <c r="J13" s="572">
        <f>G13*E13</f>
        <v>-7.8371634504635218E-2</v>
      </c>
    </row>
    <row r="14" spans="1:10" x14ac:dyDescent="0.2">
      <c r="A14" s="570">
        <v>2017</v>
      </c>
      <c r="B14" s="570">
        <v>7</v>
      </c>
      <c r="C14" s="570">
        <v>1</v>
      </c>
      <c r="D14" s="570">
        <v>1</v>
      </c>
      <c r="E14" s="570">
        <v>1</v>
      </c>
      <c r="F14" s="571">
        <v>0.51235636253022221</v>
      </c>
      <c r="G14" s="571">
        <v>9.5493283411626523E-2</v>
      </c>
      <c r="H14" s="572">
        <f>C14*G14</f>
        <v>9.5493283411626523E-2</v>
      </c>
      <c r="I14" s="572">
        <f>D14*G14</f>
        <v>9.5493283411626523E-2</v>
      </c>
      <c r="J14" s="572">
        <f>G14*E14</f>
        <v>9.5493283411626523E-2</v>
      </c>
    </row>
    <row r="15" spans="1:10" x14ac:dyDescent="0.2">
      <c r="A15" s="570">
        <v>2019</v>
      </c>
      <c r="B15" s="570">
        <v>7</v>
      </c>
      <c r="C15" s="570">
        <v>1</v>
      </c>
      <c r="D15" s="570">
        <v>1</v>
      </c>
      <c r="E15" s="570">
        <v>1</v>
      </c>
      <c r="F15" s="571">
        <v>0.16563541596453121</v>
      </c>
      <c r="G15" s="571">
        <v>9.1708023842027156E-2</v>
      </c>
      <c r="H15" s="572">
        <f>C15*G15</f>
        <v>9.1708023842027156E-2</v>
      </c>
      <c r="I15" s="572">
        <f>D15*G15</f>
        <v>9.1708023842027156E-2</v>
      </c>
      <c r="J15" s="572">
        <f>G15*E15</f>
        <v>9.1708023842027156E-2</v>
      </c>
    </row>
    <row r="16" spans="1:10" x14ac:dyDescent="0.2">
      <c r="A16" s="570">
        <v>2018</v>
      </c>
      <c r="B16" s="570">
        <v>7</v>
      </c>
      <c r="C16" s="570">
        <v>1</v>
      </c>
      <c r="D16" s="570">
        <v>1</v>
      </c>
      <c r="E16" s="570">
        <v>1</v>
      </c>
      <c r="F16" s="571">
        <v>0.21923215754021019</v>
      </c>
      <c r="G16" s="571">
        <v>8.7080622253646114E-2</v>
      </c>
      <c r="H16" s="572">
        <f>C16*G16</f>
        <v>8.7080622253646114E-2</v>
      </c>
      <c r="I16" s="572">
        <f>D16*G16</f>
        <v>8.7080622253646114E-2</v>
      </c>
      <c r="J16" s="572">
        <f>G16*E16</f>
        <v>8.7080622253646114E-2</v>
      </c>
    </row>
    <row r="17" spans="1:10" x14ac:dyDescent="0.2">
      <c r="A17" s="570">
        <v>2017</v>
      </c>
      <c r="B17" s="570">
        <v>11</v>
      </c>
      <c r="C17" s="570">
        <v>0</v>
      </c>
      <c r="D17" s="570">
        <v>1</v>
      </c>
      <c r="E17" s="570">
        <v>1</v>
      </c>
      <c r="F17" s="571">
        <v>0.12339598191436334</v>
      </c>
      <c r="G17" s="571">
        <v>0.44239911688260536</v>
      </c>
      <c r="H17" s="572">
        <f>C17*G17</f>
        <v>0</v>
      </c>
      <c r="I17" s="572">
        <f>D17*G17</f>
        <v>0.44239911688260536</v>
      </c>
      <c r="J17" s="572">
        <f>G17*E17</f>
        <v>0.44239911688260536</v>
      </c>
    </row>
    <row r="18" spans="1:10" x14ac:dyDescent="0.2">
      <c r="A18" s="570">
        <v>2018</v>
      </c>
      <c r="B18" s="570">
        <v>11</v>
      </c>
      <c r="C18" s="570">
        <v>0</v>
      </c>
      <c r="D18" s="570">
        <v>1</v>
      </c>
      <c r="E18" s="570">
        <v>1</v>
      </c>
      <c r="F18" s="571">
        <v>0.14981978066367441</v>
      </c>
      <c r="G18" s="571">
        <v>1.4845410284975567E-2</v>
      </c>
      <c r="H18" s="572">
        <f>C18*G18</f>
        <v>0</v>
      </c>
      <c r="I18" s="572">
        <f>D18*G18</f>
        <v>1.4845410284975567E-2</v>
      </c>
      <c r="J18" s="572">
        <f>G18*E18</f>
        <v>1.4845410284975567E-2</v>
      </c>
    </row>
    <row r="19" spans="1:10" x14ac:dyDescent="0.2">
      <c r="A19" s="570">
        <v>2019</v>
      </c>
      <c r="B19" s="570">
        <v>11</v>
      </c>
      <c r="C19" s="570">
        <v>0</v>
      </c>
      <c r="D19" s="570">
        <v>1</v>
      </c>
      <c r="E19" s="570">
        <v>1</v>
      </c>
      <c r="F19" s="571">
        <v>0.14370095115522522</v>
      </c>
      <c r="G19" s="571">
        <v>-0.12567258902249509</v>
      </c>
      <c r="H19" s="572">
        <f>C19*G19</f>
        <v>0</v>
      </c>
      <c r="I19" s="572">
        <f>D19*G19</f>
        <v>-0.12567258902249509</v>
      </c>
      <c r="J19" s="572">
        <f>G19*E19</f>
        <v>-0.12567258902249509</v>
      </c>
    </row>
    <row r="20" spans="1:10" x14ac:dyDescent="0.2">
      <c r="A20" s="570">
        <v>2018</v>
      </c>
      <c r="B20" s="570">
        <v>12</v>
      </c>
      <c r="C20" s="570">
        <v>0</v>
      </c>
      <c r="D20" s="570">
        <v>1</v>
      </c>
      <c r="E20" s="570">
        <v>1</v>
      </c>
      <c r="F20" s="571">
        <v>0.62833426009635107</v>
      </c>
      <c r="G20" s="571">
        <v>0.18277217828251421</v>
      </c>
      <c r="H20" s="572">
        <f>C20*G20</f>
        <v>0</v>
      </c>
      <c r="I20" s="572">
        <f>D20*G20</f>
        <v>0.18277217828251421</v>
      </c>
      <c r="J20" s="572">
        <f>G20*E20</f>
        <v>0.18277217828251421</v>
      </c>
    </row>
    <row r="21" spans="1:10" x14ac:dyDescent="0.2">
      <c r="A21" s="570">
        <v>2017</v>
      </c>
      <c r="B21" s="570">
        <v>12</v>
      </c>
      <c r="C21" s="570">
        <v>0</v>
      </c>
      <c r="D21" s="570">
        <v>1</v>
      </c>
      <c r="E21" s="570">
        <v>1</v>
      </c>
      <c r="F21" s="571">
        <v>0.48043457080072099</v>
      </c>
      <c r="G21" s="571">
        <v>6.6346197692659994E-2</v>
      </c>
      <c r="H21" s="572">
        <f>C21*G21</f>
        <v>0</v>
      </c>
      <c r="I21" s="572">
        <f>D21*G21</f>
        <v>6.6346197692659994E-2</v>
      </c>
      <c r="J21" s="572">
        <f>G21*E21</f>
        <v>6.6346197692659994E-2</v>
      </c>
    </row>
    <row r="22" spans="1:10" x14ac:dyDescent="0.2">
      <c r="A22" s="570">
        <v>2019</v>
      </c>
      <c r="B22" s="570">
        <v>12</v>
      </c>
      <c r="C22" s="570">
        <v>0</v>
      </c>
      <c r="D22" s="570">
        <v>1</v>
      </c>
      <c r="E22" s="570">
        <v>1</v>
      </c>
      <c r="F22" s="571">
        <v>0.79941445613652429</v>
      </c>
      <c r="G22" s="571">
        <v>2.184597322883804E-2</v>
      </c>
      <c r="H22" s="572">
        <f>C22*G22</f>
        <v>0</v>
      </c>
      <c r="I22" s="572">
        <f>D22*G22</f>
        <v>2.184597322883804E-2</v>
      </c>
      <c r="J22" s="572">
        <f>G22*E22</f>
        <v>2.184597322883804E-2</v>
      </c>
    </row>
    <row r="23" spans="1:10" x14ac:dyDescent="0.2">
      <c r="A23" s="570">
        <v>2018</v>
      </c>
      <c r="B23" s="570">
        <v>13</v>
      </c>
      <c r="C23" s="570">
        <v>1</v>
      </c>
      <c r="D23" s="570">
        <v>1</v>
      </c>
      <c r="E23" s="570">
        <v>1</v>
      </c>
      <c r="F23" s="571">
        <v>0.32162360732761275</v>
      </c>
      <c r="G23" s="571">
        <v>0.13332421146584794</v>
      </c>
      <c r="H23" s="572">
        <f>C23*G23</f>
        <v>0.13332421146584794</v>
      </c>
      <c r="I23" s="572">
        <f>D23*G23</f>
        <v>0.13332421146584794</v>
      </c>
      <c r="J23" s="572">
        <f>G23*E23</f>
        <v>0.13332421146584794</v>
      </c>
    </row>
    <row r="24" spans="1:10" x14ac:dyDescent="0.2">
      <c r="A24" s="570">
        <v>2017</v>
      </c>
      <c r="B24" s="570">
        <v>13</v>
      </c>
      <c r="C24" s="570">
        <v>1</v>
      </c>
      <c r="D24" s="570">
        <v>1</v>
      </c>
      <c r="E24" s="570">
        <v>1</v>
      </c>
      <c r="F24" s="571">
        <v>0.40704080142035237</v>
      </c>
      <c r="G24" s="571">
        <v>5.8014969625279939E-2</v>
      </c>
      <c r="H24" s="572">
        <f>C24*G24</f>
        <v>5.8014969625279939E-2</v>
      </c>
      <c r="I24" s="572">
        <f>D24*G24</f>
        <v>5.8014969625279939E-2</v>
      </c>
      <c r="J24" s="572">
        <f>G24*E24</f>
        <v>5.8014969625279939E-2</v>
      </c>
    </row>
    <row r="25" spans="1:10" x14ac:dyDescent="0.2">
      <c r="A25" s="570">
        <v>2019</v>
      </c>
      <c r="B25" s="570">
        <v>13</v>
      </c>
      <c r="C25" s="570">
        <v>1</v>
      </c>
      <c r="D25" s="570">
        <v>1</v>
      </c>
      <c r="E25" s="570">
        <v>1</v>
      </c>
      <c r="F25" s="571">
        <v>0.19974675360626079</v>
      </c>
      <c r="G25" s="571">
        <v>5.7561739318658482E-3</v>
      </c>
      <c r="H25" s="572">
        <f>C25*G25</f>
        <v>5.7561739318658482E-3</v>
      </c>
      <c r="I25" s="572">
        <f>D25*G25</f>
        <v>5.7561739318658482E-3</v>
      </c>
      <c r="J25" s="572">
        <f>G25*E25</f>
        <v>5.7561739318658482E-3</v>
      </c>
    </row>
    <row r="26" spans="1:10" x14ac:dyDescent="0.2">
      <c r="A26" s="570">
        <v>2018</v>
      </c>
      <c r="B26" s="570">
        <v>14</v>
      </c>
      <c r="C26" s="570">
        <v>1</v>
      </c>
      <c r="D26" s="570">
        <v>1</v>
      </c>
      <c r="E26" s="570">
        <v>1</v>
      </c>
      <c r="F26" s="571">
        <v>0.36641261145455112</v>
      </c>
      <c r="G26" s="571">
        <v>1.8634495240131606E-2</v>
      </c>
      <c r="H26" s="572">
        <f>C26*G26</f>
        <v>1.8634495240131606E-2</v>
      </c>
      <c r="I26" s="572">
        <f>D26*G26</f>
        <v>1.8634495240131606E-2</v>
      </c>
      <c r="J26" s="572">
        <f>G26*E26</f>
        <v>1.8634495240131606E-2</v>
      </c>
    </row>
    <row r="27" spans="1:10" x14ac:dyDescent="0.2">
      <c r="A27" s="570">
        <v>2017</v>
      </c>
      <c r="B27" s="570">
        <v>14</v>
      </c>
      <c r="C27" s="570">
        <v>1</v>
      </c>
      <c r="D27" s="570">
        <v>1</v>
      </c>
      <c r="E27" s="570">
        <v>1</v>
      </c>
      <c r="F27" s="571">
        <v>0.2767098419211596</v>
      </c>
      <c r="G27" s="571">
        <v>-2.5271290137628289E-2</v>
      </c>
      <c r="H27" s="572">
        <f>C27*G27</f>
        <v>-2.5271290137628289E-2</v>
      </c>
      <c r="I27" s="572">
        <f>D27*G27</f>
        <v>-2.5271290137628289E-2</v>
      </c>
      <c r="J27" s="572">
        <f>G27*E27</f>
        <v>-2.5271290137628289E-2</v>
      </c>
    </row>
    <row r="28" spans="1:10" x14ac:dyDescent="0.2">
      <c r="A28" s="570">
        <v>2019</v>
      </c>
      <c r="B28" s="570">
        <v>14</v>
      </c>
      <c r="C28" s="570">
        <v>1</v>
      </c>
      <c r="D28" s="570">
        <v>1</v>
      </c>
      <c r="E28" s="570">
        <v>1</v>
      </c>
      <c r="F28" s="571">
        <v>0.71064278236935419</v>
      </c>
      <c r="G28" s="571">
        <v>-6.1876577126092E-2</v>
      </c>
      <c r="H28" s="572">
        <f>C28*G28</f>
        <v>-6.1876577126092E-2</v>
      </c>
      <c r="I28" s="572">
        <f>D28*G28</f>
        <v>-6.1876577126092E-2</v>
      </c>
      <c r="J28" s="572">
        <f>G28*E28</f>
        <v>-6.1876577126092E-2</v>
      </c>
    </row>
    <row r="29" spans="1:10" x14ac:dyDescent="0.2">
      <c r="A29" s="570">
        <v>2018</v>
      </c>
      <c r="B29" s="570">
        <v>16</v>
      </c>
      <c r="C29" s="570">
        <v>1</v>
      </c>
      <c r="D29" s="570">
        <v>1</v>
      </c>
      <c r="E29" s="570">
        <v>1</v>
      </c>
      <c r="F29" s="571">
        <v>0.51083700544707822</v>
      </c>
      <c r="G29" s="571">
        <v>8.4356355533163591E-2</v>
      </c>
      <c r="H29" s="572">
        <f>C29*G29</f>
        <v>8.4356355533163591E-2</v>
      </c>
      <c r="I29" s="572">
        <f>D29*G29</f>
        <v>8.4356355533163591E-2</v>
      </c>
      <c r="J29" s="572">
        <f>G29*E29</f>
        <v>8.4356355533163591E-2</v>
      </c>
    </row>
    <row r="30" spans="1:10" x14ac:dyDescent="0.2">
      <c r="A30" s="570">
        <v>2019</v>
      </c>
      <c r="B30" s="570">
        <v>16</v>
      </c>
      <c r="C30" s="570">
        <v>1</v>
      </c>
      <c r="D30" s="570">
        <v>1</v>
      </c>
      <c r="E30" s="570">
        <v>1</v>
      </c>
      <c r="F30" s="571">
        <v>0.25740875046249412</v>
      </c>
      <c r="G30" s="571">
        <v>8.4309219209130939E-2</v>
      </c>
      <c r="H30" s="572">
        <f>C30*G30</f>
        <v>8.4309219209130939E-2</v>
      </c>
      <c r="I30" s="572">
        <f>D30*G30</f>
        <v>8.4309219209130939E-2</v>
      </c>
      <c r="J30" s="572">
        <f>G30*E30</f>
        <v>8.4309219209130939E-2</v>
      </c>
    </row>
    <row r="31" spans="1:10" x14ac:dyDescent="0.2">
      <c r="A31" s="570">
        <v>2017</v>
      </c>
      <c r="B31" s="570">
        <v>16</v>
      </c>
      <c r="C31" s="570">
        <v>1</v>
      </c>
      <c r="D31" s="570">
        <v>1</v>
      </c>
      <c r="E31" s="570">
        <v>1</v>
      </c>
      <c r="F31" s="571">
        <v>0.65164825866437048</v>
      </c>
      <c r="G31" s="571">
        <v>5.3181020626971526E-2</v>
      </c>
      <c r="H31" s="572">
        <f>C31*G31</f>
        <v>5.3181020626971526E-2</v>
      </c>
      <c r="I31" s="572">
        <f>D31*G31</f>
        <v>5.3181020626971526E-2</v>
      </c>
      <c r="J31" s="572">
        <f>G31*E31</f>
        <v>5.3181020626971526E-2</v>
      </c>
    </row>
    <row r="32" spans="1:10" x14ac:dyDescent="0.2">
      <c r="A32" s="570">
        <v>2017</v>
      </c>
      <c r="B32" s="570">
        <v>17</v>
      </c>
      <c r="C32" s="570">
        <v>0</v>
      </c>
      <c r="D32" s="570">
        <v>1</v>
      </c>
      <c r="E32" s="570">
        <v>1</v>
      </c>
      <c r="F32" s="571">
        <v>0.25527112059584317</v>
      </c>
      <c r="G32" s="571">
        <v>0.24740359347522434</v>
      </c>
      <c r="H32" s="572">
        <f>C32*G32</f>
        <v>0</v>
      </c>
      <c r="I32" s="572">
        <f>D32*G32</f>
        <v>0.24740359347522434</v>
      </c>
      <c r="J32" s="572">
        <f>G32*E32</f>
        <v>0.24740359347522434</v>
      </c>
    </row>
    <row r="33" spans="1:10" x14ac:dyDescent="0.2">
      <c r="A33" s="570">
        <v>2019</v>
      </c>
      <c r="B33" s="570">
        <v>17</v>
      </c>
      <c r="C33" s="570">
        <v>0</v>
      </c>
      <c r="D33" s="570">
        <v>1</v>
      </c>
      <c r="E33" s="570">
        <v>1</v>
      </c>
      <c r="F33" s="571">
        <v>0.32503069636905807</v>
      </c>
      <c r="G33" s="571">
        <v>2.9991856515780482E-3</v>
      </c>
      <c r="H33" s="572">
        <f>C33*G33</f>
        <v>0</v>
      </c>
      <c r="I33" s="572">
        <f>D33*G33</f>
        <v>2.9991856515780482E-3</v>
      </c>
      <c r="J33" s="572">
        <f>G33*E33</f>
        <v>2.9991856515780482E-3</v>
      </c>
    </row>
    <row r="34" spans="1:10" x14ac:dyDescent="0.2">
      <c r="A34" s="570">
        <v>2018</v>
      </c>
      <c r="B34" s="570">
        <v>17</v>
      </c>
      <c r="C34" s="570">
        <v>0</v>
      </c>
      <c r="D34" s="570">
        <v>1</v>
      </c>
      <c r="E34" s="570">
        <v>1</v>
      </c>
      <c r="F34" s="571">
        <v>0.24848120372147126</v>
      </c>
      <c r="G34" s="571">
        <v>-1.9337399200966113E-2</v>
      </c>
      <c r="H34" s="572">
        <f>C34*G34</f>
        <v>0</v>
      </c>
      <c r="I34" s="572">
        <f>D34*G34</f>
        <v>-1.9337399200966113E-2</v>
      </c>
      <c r="J34" s="572">
        <f>G34*E34</f>
        <v>-1.9337399200966113E-2</v>
      </c>
    </row>
    <row r="35" spans="1:10" x14ac:dyDescent="0.2">
      <c r="A35" s="570">
        <v>2019</v>
      </c>
      <c r="B35" s="570">
        <v>20</v>
      </c>
      <c r="C35" s="570">
        <v>1</v>
      </c>
      <c r="D35" s="570">
        <v>1</v>
      </c>
      <c r="E35" s="570">
        <v>1</v>
      </c>
      <c r="F35" s="571">
        <v>0.54236196327458219</v>
      </c>
      <c r="G35" s="571">
        <v>0.10613630393829408</v>
      </c>
      <c r="H35" s="572">
        <f>C35*G35</f>
        <v>0.10613630393829408</v>
      </c>
      <c r="I35" s="572">
        <f>D35*G35</f>
        <v>0.10613630393829408</v>
      </c>
      <c r="J35" s="572">
        <f>G35*E35</f>
        <v>0.10613630393829408</v>
      </c>
    </row>
    <row r="36" spans="1:10" x14ac:dyDescent="0.2">
      <c r="A36" s="570">
        <v>2018</v>
      </c>
      <c r="B36" s="570">
        <v>20</v>
      </c>
      <c r="C36" s="570">
        <v>1</v>
      </c>
      <c r="D36" s="570">
        <v>1</v>
      </c>
      <c r="E36" s="570">
        <v>1</v>
      </c>
      <c r="F36" s="571">
        <v>0.88101881145021388</v>
      </c>
      <c r="G36" s="571">
        <v>7.994551893217107E-2</v>
      </c>
      <c r="H36" s="572">
        <f>C36*G36</f>
        <v>7.994551893217107E-2</v>
      </c>
      <c r="I36" s="572">
        <f>D36*G36</f>
        <v>7.994551893217107E-2</v>
      </c>
      <c r="J36" s="572">
        <f>G36*E36</f>
        <v>7.994551893217107E-2</v>
      </c>
    </row>
    <row r="37" spans="1:10" x14ac:dyDescent="0.2">
      <c r="A37" s="570">
        <v>2017</v>
      </c>
      <c r="B37" s="570">
        <v>20</v>
      </c>
      <c r="C37" s="570">
        <v>1</v>
      </c>
      <c r="D37" s="570">
        <v>1</v>
      </c>
      <c r="E37" s="570">
        <v>1</v>
      </c>
      <c r="F37" s="571">
        <v>0.34095136937587023</v>
      </c>
      <c r="G37" s="571">
        <v>3.5355802364536219E-2</v>
      </c>
      <c r="H37" s="572">
        <f>C37*G37</f>
        <v>3.5355802364536219E-2</v>
      </c>
      <c r="I37" s="572">
        <f>D37*G37</f>
        <v>3.5355802364536219E-2</v>
      </c>
      <c r="J37" s="572">
        <f>G37*E37</f>
        <v>3.5355802364536219E-2</v>
      </c>
    </row>
    <row r="38" spans="1:10" x14ac:dyDescent="0.2">
      <c r="A38" s="570">
        <v>2018</v>
      </c>
      <c r="B38" s="570">
        <v>21</v>
      </c>
      <c r="C38" s="570">
        <v>0</v>
      </c>
      <c r="D38" s="570">
        <v>1</v>
      </c>
      <c r="E38" s="570">
        <v>0</v>
      </c>
      <c r="F38" s="571">
        <v>0.3438845743894472</v>
      </c>
      <c r="G38" s="571">
        <v>0.16875211506486942</v>
      </c>
      <c r="H38" s="572">
        <f>C38*G38</f>
        <v>0</v>
      </c>
      <c r="I38" s="572">
        <f>D38*G38</f>
        <v>0.16875211506486942</v>
      </c>
      <c r="J38" s="572">
        <f>G38*E38</f>
        <v>0</v>
      </c>
    </row>
    <row r="39" spans="1:10" x14ac:dyDescent="0.2">
      <c r="A39" s="570">
        <v>2017</v>
      </c>
      <c r="B39" s="570">
        <v>21</v>
      </c>
      <c r="C39" s="570">
        <v>0</v>
      </c>
      <c r="D39" s="570">
        <v>1</v>
      </c>
      <c r="E39" s="570">
        <v>0</v>
      </c>
      <c r="F39" s="571">
        <v>0.29888585188872208</v>
      </c>
      <c r="G39" s="571">
        <v>6.3657158714620771E-2</v>
      </c>
      <c r="H39" s="572">
        <f>C39*G39</f>
        <v>0</v>
      </c>
      <c r="I39" s="572">
        <f>D39*G39</f>
        <v>6.3657158714620771E-2</v>
      </c>
      <c r="J39" s="572">
        <f>G39*E39</f>
        <v>0</v>
      </c>
    </row>
    <row r="40" spans="1:10" x14ac:dyDescent="0.2">
      <c r="A40" s="570">
        <v>2019</v>
      </c>
      <c r="B40" s="570">
        <v>21</v>
      </c>
      <c r="C40" s="570">
        <v>0</v>
      </c>
      <c r="D40" s="570">
        <v>1</v>
      </c>
      <c r="E40" s="570">
        <v>0</v>
      </c>
      <c r="F40" s="571">
        <v>0.34463663096131408</v>
      </c>
      <c r="G40" s="571">
        <v>-0.10313727900454785</v>
      </c>
      <c r="H40" s="572">
        <f>C40*G40</f>
        <v>0</v>
      </c>
      <c r="I40" s="572">
        <f>D40*G40</f>
        <v>-0.10313727900454785</v>
      </c>
      <c r="J40" s="572">
        <f>G40*E40</f>
        <v>0</v>
      </c>
    </row>
    <row r="41" spans="1:10" x14ac:dyDescent="0.2">
      <c r="A41" s="570">
        <v>2018</v>
      </c>
      <c r="B41" s="570">
        <v>22</v>
      </c>
      <c r="C41" s="570">
        <v>0</v>
      </c>
      <c r="D41" s="570">
        <v>1</v>
      </c>
      <c r="E41" s="570">
        <v>0</v>
      </c>
      <c r="F41" s="571">
        <v>0.55816581067947324</v>
      </c>
      <c r="G41" s="571">
        <v>0.33990511690974029</v>
      </c>
      <c r="H41" s="572">
        <f>C41*G41</f>
        <v>0</v>
      </c>
      <c r="I41" s="572">
        <f>D41*G41</f>
        <v>0.33990511690974029</v>
      </c>
      <c r="J41" s="572">
        <f>G41*E41</f>
        <v>0</v>
      </c>
    </row>
    <row r="42" spans="1:10" x14ac:dyDescent="0.2">
      <c r="A42" s="570">
        <v>2017</v>
      </c>
      <c r="B42" s="570">
        <v>22</v>
      </c>
      <c r="C42" s="570">
        <v>0</v>
      </c>
      <c r="D42" s="570">
        <v>1</v>
      </c>
      <c r="E42" s="570">
        <v>0</v>
      </c>
      <c r="F42" s="571">
        <v>0.42629552365829104</v>
      </c>
      <c r="G42" s="571">
        <v>0.25255710680642302</v>
      </c>
      <c r="H42" s="572">
        <f>C42*G42</f>
        <v>0</v>
      </c>
      <c r="I42" s="572">
        <f>D42*G42</f>
        <v>0.25255710680642302</v>
      </c>
      <c r="J42" s="572">
        <f>G42*E42</f>
        <v>0</v>
      </c>
    </row>
    <row r="43" spans="1:10" x14ac:dyDescent="0.2">
      <c r="A43" s="570">
        <v>2019</v>
      </c>
      <c r="B43" s="570">
        <v>22</v>
      </c>
      <c r="C43" s="570">
        <v>0</v>
      </c>
      <c r="D43" s="570">
        <v>1</v>
      </c>
      <c r="E43" s="570">
        <v>0</v>
      </c>
      <c r="F43" s="571">
        <v>0.55615916492270545</v>
      </c>
      <c r="G43" s="571">
        <v>-0.24573499529421428</v>
      </c>
      <c r="H43" s="572">
        <f>C43*G43</f>
        <v>0</v>
      </c>
      <c r="I43" s="572">
        <f>D43*G43</f>
        <v>-0.24573499529421428</v>
      </c>
      <c r="J43" s="572">
        <f>G43*E43</f>
        <v>0</v>
      </c>
    </row>
    <row r="44" spans="1:10" x14ac:dyDescent="0.2">
      <c r="A44" s="570">
        <v>2017</v>
      </c>
      <c r="B44" s="573">
        <v>23</v>
      </c>
      <c r="C44" s="570">
        <v>1</v>
      </c>
      <c r="D44" s="570">
        <v>1</v>
      </c>
      <c r="E44" s="570">
        <v>1</v>
      </c>
      <c r="F44" s="571">
        <v>6.2834628640544926E-2</v>
      </c>
      <c r="G44" s="571">
        <v>0.56707758183714796</v>
      </c>
      <c r="H44" s="572">
        <f>C44*G44</f>
        <v>0.56707758183714796</v>
      </c>
      <c r="I44" s="572">
        <f>D44*G44</f>
        <v>0.56707758183714796</v>
      </c>
      <c r="J44" s="572">
        <f>G44*E44</f>
        <v>0.56707758183714796</v>
      </c>
    </row>
    <row r="45" spans="1:10" x14ac:dyDescent="0.2">
      <c r="A45" s="570">
        <v>2019</v>
      </c>
      <c r="B45" s="573">
        <v>23</v>
      </c>
      <c r="C45" s="570">
        <v>1</v>
      </c>
      <c r="D45" s="570">
        <v>1</v>
      </c>
      <c r="E45" s="570">
        <v>1</v>
      </c>
      <c r="F45" s="571">
        <v>7.0144385089421002E-2</v>
      </c>
      <c r="G45" s="571">
        <v>6.8803264436339232E-2</v>
      </c>
      <c r="H45" s="572">
        <f>C45*G45</f>
        <v>6.8803264436339232E-2</v>
      </c>
      <c r="I45" s="572">
        <f>D45*G45</f>
        <v>6.8803264436339232E-2</v>
      </c>
      <c r="J45" s="572">
        <f>G45*E45</f>
        <v>6.8803264436339232E-2</v>
      </c>
    </row>
    <row r="46" spans="1:10" x14ac:dyDescent="0.2">
      <c r="A46" s="570">
        <v>2018</v>
      </c>
      <c r="B46" s="573">
        <v>23</v>
      </c>
      <c r="C46" s="570">
        <v>1</v>
      </c>
      <c r="D46" s="570">
        <v>1</v>
      </c>
      <c r="E46" s="570">
        <v>1</v>
      </c>
      <c r="F46" s="571">
        <v>0.14586246123790303</v>
      </c>
      <c r="G46" s="571">
        <v>-0.35937350661872414</v>
      </c>
      <c r="H46" s="572">
        <f>C46*G46</f>
        <v>-0.35937350661872414</v>
      </c>
      <c r="I46" s="572">
        <f>D46*G46</f>
        <v>-0.35937350661872414</v>
      </c>
      <c r="J46" s="572">
        <f>G46*E46</f>
        <v>-0.35937350661872414</v>
      </c>
    </row>
    <row r="47" spans="1:10" x14ac:dyDescent="0.2">
      <c r="A47" s="570">
        <v>2019</v>
      </c>
      <c r="B47" s="570">
        <v>25</v>
      </c>
      <c r="C47" s="570">
        <v>0</v>
      </c>
      <c r="D47" s="570">
        <v>1</v>
      </c>
      <c r="E47" s="570">
        <v>0</v>
      </c>
      <c r="F47" s="571">
        <v>0.18411298492342532</v>
      </c>
      <c r="G47" s="571">
        <v>0.13469928335410375</v>
      </c>
      <c r="H47" s="572">
        <f>C47*G47</f>
        <v>0</v>
      </c>
      <c r="I47" s="572">
        <f>D47*G47</f>
        <v>0.13469928335410375</v>
      </c>
      <c r="J47" s="572">
        <f>G47*E47</f>
        <v>0</v>
      </c>
    </row>
    <row r="48" spans="1:10" x14ac:dyDescent="0.2">
      <c r="A48" s="570">
        <v>2018</v>
      </c>
      <c r="B48" s="570">
        <v>25</v>
      </c>
      <c r="C48" s="570">
        <v>0</v>
      </c>
      <c r="D48" s="570">
        <v>1</v>
      </c>
      <c r="E48" s="570">
        <v>0</v>
      </c>
      <c r="F48" s="571">
        <v>0.35941265794569593</v>
      </c>
      <c r="G48" s="571">
        <v>5.4415756052988595E-2</v>
      </c>
      <c r="H48" s="572">
        <f>C48*G48</f>
        <v>0</v>
      </c>
      <c r="I48" s="572">
        <f>D48*G48</f>
        <v>5.4415756052988595E-2</v>
      </c>
      <c r="J48" s="572">
        <f>G48*E48</f>
        <v>0</v>
      </c>
    </row>
    <row r="49" spans="1:10" x14ac:dyDescent="0.2">
      <c r="A49" s="570">
        <v>2017</v>
      </c>
      <c r="B49" s="570">
        <v>25</v>
      </c>
      <c r="C49" s="570">
        <v>0</v>
      </c>
      <c r="D49" s="570">
        <v>1</v>
      </c>
      <c r="E49" s="570">
        <v>0</v>
      </c>
      <c r="F49" s="571">
        <v>8.7878589222499012E-2</v>
      </c>
      <c r="G49" s="571">
        <v>1.7436302280032082E-2</v>
      </c>
      <c r="H49" s="572">
        <f>C49*G49</f>
        <v>0</v>
      </c>
      <c r="I49" s="572">
        <f>D49*G49</f>
        <v>1.7436302280032082E-2</v>
      </c>
      <c r="J49" s="572">
        <f>G49*E49</f>
        <v>0</v>
      </c>
    </row>
    <row r="50" spans="1:10" x14ac:dyDescent="0.2">
      <c r="A50" s="570">
        <v>2018</v>
      </c>
      <c r="B50" s="570">
        <v>26</v>
      </c>
      <c r="C50" s="570">
        <v>0</v>
      </c>
      <c r="D50" s="570">
        <v>1</v>
      </c>
      <c r="E50" s="570">
        <v>0</v>
      </c>
      <c r="F50" s="571">
        <v>1.3104770805472349E-3</v>
      </c>
      <c r="G50" s="571">
        <v>0.4025536682129931</v>
      </c>
      <c r="H50" s="572">
        <f>C50*G50</f>
        <v>0</v>
      </c>
      <c r="I50" s="572">
        <f>D50*G50</f>
        <v>0.4025536682129931</v>
      </c>
      <c r="J50" s="572">
        <f>G50*E50</f>
        <v>0</v>
      </c>
    </row>
    <row r="51" spans="1:10" x14ac:dyDescent="0.2">
      <c r="A51" s="570">
        <v>2017</v>
      </c>
      <c r="B51" s="570">
        <v>26</v>
      </c>
      <c r="C51" s="570">
        <v>0</v>
      </c>
      <c r="D51" s="570">
        <v>1</v>
      </c>
      <c r="E51" s="570">
        <v>0</v>
      </c>
      <c r="F51" s="571">
        <v>5.5963691081274266E-3</v>
      </c>
      <c r="G51" s="571">
        <v>0.27205051899075222</v>
      </c>
      <c r="H51" s="572">
        <f>C51*G51</f>
        <v>0</v>
      </c>
      <c r="I51" s="572">
        <f>D51*G51</f>
        <v>0.27205051899075222</v>
      </c>
      <c r="J51" s="572">
        <f>G51*E51</f>
        <v>0</v>
      </c>
    </row>
    <row r="52" spans="1:10" x14ac:dyDescent="0.2">
      <c r="A52" s="570">
        <v>2019</v>
      </c>
      <c r="B52" s="570">
        <v>26</v>
      </c>
      <c r="C52" s="570">
        <v>0</v>
      </c>
      <c r="D52" s="570">
        <v>1</v>
      </c>
      <c r="E52" s="570">
        <v>0</v>
      </c>
      <c r="F52" s="571">
        <v>7.2385571131427665E-3</v>
      </c>
      <c r="G52" s="571">
        <v>0.14663403463769045</v>
      </c>
      <c r="H52" s="572">
        <f>C52*G52</f>
        <v>0</v>
      </c>
      <c r="I52" s="572">
        <f>D52*G52</f>
        <v>0.14663403463769045</v>
      </c>
      <c r="J52" s="572">
        <f>G52*E52</f>
        <v>0</v>
      </c>
    </row>
    <row r="53" spans="1:10" x14ac:dyDescent="0.2">
      <c r="A53" s="570">
        <v>2017</v>
      </c>
      <c r="B53" s="570">
        <v>28</v>
      </c>
      <c r="C53" s="570">
        <v>1</v>
      </c>
      <c r="D53" s="570">
        <v>1</v>
      </c>
      <c r="E53" s="570">
        <v>1</v>
      </c>
      <c r="F53" s="571">
        <v>0.10066219973271791</v>
      </c>
      <c r="G53" s="571">
        <v>0.9245030804918849</v>
      </c>
      <c r="H53" s="572">
        <f>C53*G53</f>
        <v>0.9245030804918849</v>
      </c>
      <c r="I53" s="572">
        <f>D53*G53</f>
        <v>0.9245030804918849</v>
      </c>
      <c r="J53" s="572">
        <f>G53*E53</f>
        <v>0.9245030804918849</v>
      </c>
    </row>
    <row r="54" spans="1:10" x14ac:dyDescent="0.2">
      <c r="A54" s="570">
        <v>2018</v>
      </c>
      <c r="B54" s="570">
        <v>28</v>
      </c>
      <c r="C54" s="570">
        <v>1</v>
      </c>
      <c r="D54" s="570">
        <v>1</v>
      </c>
      <c r="E54" s="570">
        <v>1</v>
      </c>
      <c r="F54" s="571">
        <v>0.21885729874731566</v>
      </c>
      <c r="G54" s="571">
        <v>0.67865927548795202</v>
      </c>
      <c r="H54" s="572">
        <f>C54*G54</f>
        <v>0.67865927548795202</v>
      </c>
      <c r="I54" s="572">
        <f>D54*G54</f>
        <v>0.67865927548795202</v>
      </c>
      <c r="J54" s="572">
        <f>G54*E54</f>
        <v>0.67865927548795202</v>
      </c>
    </row>
    <row r="55" spans="1:10" x14ac:dyDescent="0.2">
      <c r="A55" s="570">
        <v>2019</v>
      </c>
      <c r="B55" s="570">
        <v>28</v>
      </c>
      <c r="C55" s="570">
        <v>1</v>
      </c>
      <c r="D55" s="570">
        <v>1</v>
      </c>
      <c r="E55" s="570">
        <v>1</v>
      </c>
      <c r="F55" s="571">
        <v>0.68274162337938016</v>
      </c>
      <c r="G55" s="571">
        <v>-0.1986126964999046</v>
      </c>
      <c r="H55" s="572">
        <f>C55*G55</f>
        <v>-0.1986126964999046</v>
      </c>
      <c r="I55" s="572">
        <f>D55*G55</f>
        <v>-0.1986126964999046</v>
      </c>
      <c r="J55" s="572">
        <f>G55*E55</f>
        <v>-0.1986126964999046</v>
      </c>
    </row>
    <row r="56" spans="1:10" x14ac:dyDescent="0.2">
      <c r="A56" s="570">
        <v>2017</v>
      </c>
      <c r="B56" s="570">
        <v>29</v>
      </c>
      <c r="C56" s="570">
        <v>1</v>
      </c>
      <c r="D56" s="570">
        <v>1</v>
      </c>
      <c r="E56" s="570">
        <v>0</v>
      </c>
      <c r="F56" s="571">
        <v>0.3396427203266621</v>
      </c>
      <c r="G56" s="571">
        <v>3.4551156077801889E-2</v>
      </c>
      <c r="H56" s="572">
        <f>C56*G56</f>
        <v>3.4551156077801889E-2</v>
      </c>
      <c r="I56" s="572">
        <f>D56*G56</f>
        <v>3.4551156077801889E-2</v>
      </c>
      <c r="J56" s="572">
        <f>G56*E56</f>
        <v>0</v>
      </c>
    </row>
    <row r="57" spans="1:10" x14ac:dyDescent="0.2">
      <c r="A57" s="570">
        <v>2019</v>
      </c>
      <c r="B57" s="570">
        <v>29</v>
      </c>
      <c r="C57" s="570">
        <v>1</v>
      </c>
      <c r="D57" s="570">
        <v>1</v>
      </c>
      <c r="E57" s="570">
        <v>0</v>
      </c>
      <c r="F57" s="571">
        <v>0.17895124770901968</v>
      </c>
      <c r="G57" s="571">
        <v>-0.1400784230371511</v>
      </c>
      <c r="H57" s="572">
        <f>C57*G57</f>
        <v>-0.1400784230371511</v>
      </c>
      <c r="I57" s="572">
        <f>D57*G57</f>
        <v>-0.1400784230371511</v>
      </c>
      <c r="J57" s="572">
        <f>G57*E57</f>
        <v>0</v>
      </c>
    </row>
    <row r="58" spans="1:10" x14ac:dyDescent="0.2">
      <c r="A58" s="570">
        <v>2018</v>
      </c>
      <c r="B58" s="570">
        <v>29</v>
      </c>
      <c r="C58" s="570">
        <v>1</v>
      </c>
      <c r="D58" s="570">
        <v>1</v>
      </c>
      <c r="E58" s="570">
        <v>0</v>
      </c>
      <c r="F58" s="571">
        <v>0.4135082413071835</v>
      </c>
      <c r="G58" s="571">
        <v>-0.14759264930626503</v>
      </c>
      <c r="H58" s="572">
        <f>C58*G58</f>
        <v>-0.14759264930626503</v>
      </c>
      <c r="I58" s="572">
        <f>D58*G58</f>
        <v>-0.14759264930626503</v>
      </c>
      <c r="J58" s="572">
        <f>G58*E58</f>
        <v>0</v>
      </c>
    </row>
    <row r="59" spans="1:10" x14ac:dyDescent="0.2">
      <c r="A59" s="570">
        <v>2017</v>
      </c>
      <c r="B59" s="570">
        <v>30</v>
      </c>
      <c r="C59" s="570">
        <v>0</v>
      </c>
      <c r="D59" s="570">
        <v>1</v>
      </c>
      <c r="E59" s="570">
        <v>1</v>
      </c>
      <c r="F59" s="571">
        <v>0.44627661289951026</v>
      </c>
      <c r="G59" s="571">
        <v>0.29041928352870178</v>
      </c>
      <c r="H59" s="572">
        <f>C59*G59</f>
        <v>0</v>
      </c>
      <c r="I59" s="572">
        <f>D59*G59</f>
        <v>0.29041928352870178</v>
      </c>
      <c r="J59" s="572">
        <f>G59*E59</f>
        <v>0.29041928352870178</v>
      </c>
    </row>
    <row r="60" spans="1:10" x14ac:dyDescent="0.2">
      <c r="A60" s="570">
        <v>2018</v>
      </c>
      <c r="B60" s="570">
        <v>30</v>
      </c>
      <c r="C60" s="570">
        <v>0</v>
      </c>
      <c r="D60" s="570">
        <v>1</v>
      </c>
      <c r="E60" s="570">
        <v>1</v>
      </c>
      <c r="F60" s="571">
        <v>0.15544158456133722</v>
      </c>
      <c r="G60" s="571">
        <v>9.2980778848610696E-2</v>
      </c>
      <c r="H60" s="572">
        <f>C60*G60</f>
        <v>0</v>
      </c>
      <c r="I60" s="572">
        <f>D60*G60</f>
        <v>9.2980778848610696E-2</v>
      </c>
      <c r="J60" s="572">
        <f>G60*E60</f>
        <v>9.2980778848610696E-2</v>
      </c>
    </row>
    <row r="61" spans="1:10" x14ac:dyDescent="0.2">
      <c r="A61" s="570">
        <v>2019</v>
      </c>
      <c r="B61" s="570">
        <v>30</v>
      </c>
      <c r="C61" s="570">
        <v>0</v>
      </c>
      <c r="D61" s="570">
        <v>1</v>
      </c>
      <c r="E61" s="570">
        <v>1</v>
      </c>
      <c r="F61" s="571">
        <v>0.42428357356028129</v>
      </c>
      <c r="G61" s="571">
        <v>8.6677273512737893E-2</v>
      </c>
      <c r="H61" s="572">
        <f>C61*G61</f>
        <v>0</v>
      </c>
      <c r="I61" s="572">
        <f>D61*G61</f>
        <v>8.6677273512737893E-2</v>
      </c>
      <c r="J61" s="572">
        <f>G61*E61</f>
        <v>8.6677273512737893E-2</v>
      </c>
    </row>
    <row r="62" spans="1:10" x14ac:dyDescent="0.2">
      <c r="A62" s="570">
        <v>2018</v>
      </c>
      <c r="B62" s="570">
        <v>33</v>
      </c>
      <c r="C62" s="570">
        <v>0</v>
      </c>
      <c r="D62" s="570">
        <v>1</v>
      </c>
      <c r="E62" s="570">
        <v>1</v>
      </c>
      <c r="F62" s="571">
        <v>0.16491096665931002</v>
      </c>
      <c r="G62" s="571">
        <v>0.19053960570230599</v>
      </c>
      <c r="H62" s="572">
        <f>C62*G62</f>
        <v>0</v>
      </c>
      <c r="I62" s="572">
        <f>D62*G62</f>
        <v>0.19053960570230599</v>
      </c>
      <c r="J62" s="572">
        <f>G62*E62</f>
        <v>0.19053960570230599</v>
      </c>
    </row>
    <row r="63" spans="1:10" x14ac:dyDescent="0.2">
      <c r="A63" s="570">
        <v>2019</v>
      </c>
      <c r="B63" s="570">
        <v>33</v>
      </c>
      <c r="C63" s="570">
        <v>0</v>
      </c>
      <c r="D63" s="570">
        <v>1</v>
      </c>
      <c r="E63" s="570">
        <v>1</v>
      </c>
      <c r="F63" s="571">
        <v>0.22330932420553493</v>
      </c>
      <c r="G63" s="571">
        <v>-8.1049175369488306E-3</v>
      </c>
      <c r="H63" s="572">
        <f>C63*G63</f>
        <v>0</v>
      </c>
      <c r="I63" s="572">
        <f>D63*G63</f>
        <v>-8.1049175369488306E-3</v>
      </c>
      <c r="J63" s="572">
        <f>G63*E63</f>
        <v>-8.1049175369488306E-3</v>
      </c>
    </row>
    <row r="64" spans="1:10" x14ac:dyDescent="0.2">
      <c r="A64" s="570">
        <v>2017</v>
      </c>
      <c r="B64" s="570">
        <v>33</v>
      </c>
      <c r="C64" s="570">
        <v>0</v>
      </c>
      <c r="D64" s="570">
        <v>1</v>
      </c>
      <c r="E64" s="570">
        <v>1</v>
      </c>
      <c r="F64" s="571">
        <v>0.22033061302159532</v>
      </c>
      <c r="G64" s="571">
        <v>-4.3998240177228698E-2</v>
      </c>
      <c r="H64" s="572">
        <f>C64*G64</f>
        <v>0</v>
      </c>
      <c r="I64" s="572">
        <f>D64*G64</f>
        <v>-4.3998240177228698E-2</v>
      </c>
      <c r="J64" s="572">
        <f>G64*E64</f>
        <v>-4.3998240177228698E-2</v>
      </c>
    </row>
    <row r="65" spans="1:10" x14ac:dyDescent="0.2">
      <c r="A65" s="570">
        <v>2018</v>
      </c>
      <c r="B65" s="570">
        <v>34</v>
      </c>
      <c r="C65" s="570">
        <v>1</v>
      </c>
      <c r="D65" s="570">
        <v>1</v>
      </c>
      <c r="E65" s="570">
        <v>1</v>
      </c>
      <c r="F65" s="571">
        <v>0.8877283220348996</v>
      </c>
      <c r="G65" s="571">
        <v>0.15875812887957791</v>
      </c>
      <c r="H65" s="572">
        <f>C65*G65</f>
        <v>0.15875812887957791</v>
      </c>
      <c r="I65" s="572">
        <f>D65*G65</f>
        <v>0.15875812887957791</v>
      </c>
      <c r="J65" s="572">
        <f>G65*E65</f>
        <v>0.15875812887957791</v>
      </c>
    </row>
    <row r="66" spans="1:10" x14ac:dyDescent="0.2">
      <c r="A66" s="570">
        <v>2019</v>
      </c>
      <c r="B66" s="570">
        <v>34</v>
      </c>
      <c r="C66" s="570">
        <v>1</v>
      </c>
      <c r="D66" s="570">
        <v>1</v>
      </c>
      <c r="E66" s="570">
        <v>1</v>
      </c>
      <c r="F66" s="571">
        <v>0.21568952315512371</v>
      </c>
      <c r="G66" s="571">
        <v>7.2027335092144998E-2</v>
      </c>
      <c r="H66" s="572">
        <f>C66*G66</f>
        <v>7.2027335092144998E-2</v>
      </c>
      <c r="I66" s="572">
        <f>D66*G66</f>
        <v>7.2027335092144998E-2</v>
      </c>
      <c r="J66" s="572">
        <f>G66*E66</f>
        <v>7.2027335092144998E-2</v>
      </c>
    </row>
    <row r="67" spans="1:10" x14ac:dyDescent="0.2">
      <c r="A67" s="570">
        <v>2017</v>
      </c>
      <c r="B67" s="570">
        <v>34</v>
      </c>
      <c r="C67" s="570">
        <v>1</v>
      </c>
      <c r="D67" s="570">
        <v>1</v>
      </c>
      <c r="E67" s="570">
        <v>1</v>
      </c>
      <c r="F67" s="571">
        <v>0.50586304384644376</v>
      </c>
      <c r="G67" s="571">
        <v>-3.2348079653748939E-2</v>
      </c>
      <c r="H67" s="572">
        <f>C67*G67</f>
        <v>-3.2348079653748939E-2</v>
      </c>
      <c r="I67" s="572">
        <f>D67*G67</f>
        <v>-3.2348079653748939E-2</v>
      </c>
      <c r="J67" s="572">
        <f>G67*E67</f>
        <v>-3.2348079653748939E-2</v>
      </c>
    </row>
    <row r="68" spans="1:10" x14ac:dyDescent="0.2">
      <c r="A68" s="570">
        <v>2019</v>
      </c>
      <c r="B68" s="570">
        <v>35</v>
      </c>
      <c r="C68" s="570">
        <v>1</v>
      </c>
      <c r="D68" s="570">
        <v>1</v>
      </c>
      <c r="E68" s="570">
        <v>1</v>
      </c>
      <c r="F68" s="571">
        <v>6.5891529855715489E-2</v>
      </c>
      <c r="G68" s="571">
        <v>1.55759471973803</v>
      </c>
      <c r="H68" s="572">
        <f>C68*G68</f>
        <v>1.55759471973803</v>
      </c>
      <c r="I68" s="572">
        <f>D68*G68</f>
        <v>1.55759471973803</v>
      </c>
      <c r="J68" s="572">
        <f>G68*E68</f>
        <v>1.55759471973803</v>
      </c>
    </row>
    <row r="69" spans="1:10" x14ac:dyDescent="0.2">
      <c r="A69" s="570">
        <v>2017</v>
      </c>
      <c r="B69" s="570">
        <v>35</v>
      </c>
      <c r="C69" s="570">
        <v>1</v>
      </c>
      <c r="D69" s="570">
        <v>1</v>
      </c>
      <c r="E69" s="570">
        <v>1</v>
      </c>
      <c r="F69" s="571">
        <v>6.821724960663049E-2</v>
      </c>
      <c r="G69" s="571">
        <v>-0.16150333950563858</v>
      </c>
      <c r="H69" s="572">
        <f>C69*G69</f>
        <v>-0.16150333950563858</v>
      </c>
      <c r="I69" s="572">
        <f>D69*G69</f>
        <v>-0.16150333950563858</v>
      </c>
      <c r="J69" s="572">
        <f>G69*E69</f>
        <v>-0.16150333950563858</v>
      </c>
    </row>
    <row r="70" spans="1:10" x14ac:dyDescent="0.2">
      <c r="A70" s="570">
        <v>2018</v>
      </c>
      <c r="B70" s="570">
        <v>35</v>
      </c>
      <c r="C70" s="570">
        <v>1</v>
      </c>
      <c r="D70" s="570">
        <v>1</v>
      </c>
      <c r="E70" s="570">
        <v>1</v>
      </c>
      <c r="F70" s="571">
        <v>8.0750035741492934E-2</v>
      </c>
      <c r="G70" s="571">
        <v>-0.22460584560225277</v>
      </c>
      <c r="H70" s="572">
        <f>C70*G70</f>
        <v>-0.22460584560225277</v>
      </c>
      <c r="I70" s="572">
        <f>D70*G70</f>
        <v>-0.22460584560225277</v>
      </c>
      <c r="J70" s="572">
        <f>G70*E70</f>
        <v>-0.22460584560225277</v>
      </c>
    </row>
    <row r="71" spans="1:10" x14ac:dyDescent="0.2">
      <c r="A71" s="570">
        <v>2017</v>
      </c>
      <c r="B71" s="570">
        <v>37</v>
      </c>
      <c r="C71" s="570">
        <v>1</v>
      </c>
      <c r="D71" s="570">
        <v>1</v>
      </c>
      <c r="E71" s="570">
        <v>0</v>
      </c>
      <c r="F71" s="571">
        <v>0.12128797696093259</v>
      </c>
      <c r="G71" s="571">
        <v>0.85911545239877751</v>
      </c>
      <c r="H71" s="572">
        <f>C71*G71</f>
        <v>0.85911545239877751</v>
      </c>
      <c r="I71" s="572">
        <f>D71*G71</f>
        <v>0.85911545239877751</v>
      </c>
      <c r="J71" s="572">
        <f>G71*E71</f>
        <v>0</v>
      </c>
    </row>
    <row r="72" spans="1:10" x14ac:dyDescent="0.2">
      <c r="A72" s="570">
        <v>2018</v>
      </c>
      <c r="B72" s="570">
        <v>37</v>
      </c>
      <c r="C72" s="570">
        <v>1</v>
      </c>
      <c r="D72" s="570">
        <v>1</v>
      </c>
      <c r="E72" s="570">
        <v>0</v>
      </c>
      <c r="F72" s="571">
        <v>0.38882754418543947</v>
      </c>
      <c r="G72" s="571">
        <v>0.43008451691490951</v>
      </c>
      <c r="H72" s="572">
        <f>C72*G72</f>
        <v>0.43008451691490951</v>
      </c>
      <c r="I72" s="572">
        <f>D72*G72</f>
        <v>0.43008451691490951</v>
      </c>
      <c r="J72" s="572">
        <f>G72*E72</f>
        <v>0</v>
      </c>
    </row>
    <row r="73" spans="1:10" x14ac:dyDescent="0.2">
      <c r="A73" s="570">
        <v>2019</v>
      </c>
      <c r="B73" s="570">
        <v>37</v>
      </c>
      <c r="C73" s="570">
        <v>1</v>
      </c>
      <c r="D73" s="570">
        <v>1</v>
      </c>
      <c r="E73" s="570">
        <v>0</v>
      </c>
      <c r="F73" s="571">
        <v>0.37874813871103358</v>
      </c>
      <c r="G73" s="571">
        <v>-9.0326410599003454E-2</v>
      </c>
      <c r="H73" s="572">
        <f>C73*G73</f>
        <v>-9.0326410599003454E-2</v>
      </c>
      <c r="I73" s="572">
        <f>D73*G73</f>
        <v>-9.0326410599003454E-2</v>
      </c>
      <c r="J73" s="572">
        <f>G73*E73</f>
        <v>0</v>
      </c>
    </row>
    <row r="74" spans="1:10" x14ac:dyDescent="0.2">
      <c r="A74" s="570">
        <v>2017</v>
      </c>
      <c r="B74" s="570">
        <v>38</v>
      </c>
      <c r="C74" s="570">
        <v>1</v>
      </c>
      <c r="D74" s="570">
        <v>1</v>
      </c>
      <c r="E74" s="570">
        <v>1</v>
      </c>
      <c r="F74" s="571">
        <v>0.23723019766341341</v>
      </c>
      <c r="G74" s="571">
        <v>8.5637548448807221E-2</v>
      </c>
      <c r="H74" s="572">
        <f>C74*G74</f>
        <v>8.5637548448807221E-2</v>
      </c>
      <c r="I74" s="572">
        <f>D74*G74</f>
        <v>8.5637548448807221E-2</v>
      </c>
      <c r="J74" s="572">
        <f>G74*E74</f>
        <v>8.5637548448807221E-2</v>
      </c>
    </row>
    <row r="75" spans="1:10" x14ac:dyDescent="0.2">
      <c r="A75" s="570">
        <v>2018</v>
      </c>
      <c r="B75" s="570">
        <v>38</v>
      </c>
      <c r="C75" s="570">
        <v>1</v>
      </c>
      <c r="D75" s="570">
        <v>1</v>
      </c>
      <c r="E75" s="570">
        <v>1</v>
      </c>
      <c r="F75" s="571">
        <v>0.38050114215675174</v>
      </c>
      <c r="G75" s="571">
        <v>7.8704153759770204E-2</v>
      </c>
      <c r="H75" s="572">
        <f>C75*G75</f>
        <v>7.8704153759770204E-2</v>
      </c>
      <c r="I75" s="572">
        <f>D75*G75</f>
        <v>7.8704153759770204E-2</v>
      </c>
      <c r="J75" s="572">
        <f>G75*E75</f>
        <v>7.8704153759770204E-2</v>
      </c>
    </row>
    <row r="76" spans="1:10" x14ac:dyDescent="0.2">
      <c r="A76" s="570">
        <v>2019</v>
      </c>
      <c r="B76" s="570">
        <v>38</v>
      </c>
      <c r="C76" s="570">
        <v>1</v>
      </c>
      <c r="D76" s="570">
        <v>1</v>
      </c>
      <c r="E76" s="570">
        <v>1</v>
      </c>
      <c r="F76" s="571">
        <v>0.26521990279602792</v>
      </c>
      <c r="G76" s="571">
        <v>6.6697552657697654E-2</v>
      </c>
      <c r="H76" s="572">
        <f>C76*G76</f>
        <v>6.6697552657697654E-2</v>
      </c>
      <c r="I76" s="572">
        <f>D76*G76</f>
        <v>6.6697552657697654E-2</v>
      </c>
      <c r="J76" s="572">
        <f>G76*E76</f>
        <v>6.6697552657697654E-2</v>
      </c>
    </row>
    <row r="77" spans="1:10" x14ac:dyDescent="0.2">
      <c r="A77" s="570">
        <v>2018</v>
      </c>
      <c r="B77" s="570">
        <v>39</v>
      </c>
      <c r="C77" s="570">
        <v>0</v>
      </c>
      <c r="D77" s="570">
        <v>1</v>
      </c>
      <c r="E77" s="570">
        <v>0</v>
      </c>
      <c r="F77" s="571">
        <v>0.28698015942718008</v>
      </c>
      <c r="G77" s="571">
        <v>0.14914272274506962</v>
      </c>
      <c r="H77" s="572">
        <f>C77*G77</f>
        <v>0</v>
      </c>
      <c r="I77" s="572">
        <f>D77*G77</f>
        <v>0.14914272274506962</v>
      </c>
      <c r="J77" s="572">
        <f>G77*E77</f>
        <v>0</v>
      </c>
    </row>
    <row r="78" spans="1:10" x14ac:dyDescent="0.2">
      <c r="A78" s="570">
        <v>2017</v>
      </c>
      <c r="B78" s="570">
        <v>39</v>
      </c>
      <c r="C78" s="570">
        <v>0</v>
      </c>
      <c r="D78" s="570">
        <v>1</v>
      </c>
      <c r="E78" s="570">
        <v>1</v>
      </c>
      <c r="F78" s="571">
        <v>0.25770893183996219</v>
      </c>
      <c r="G78" s="571">
        <v>0.13181124227140592</v>
      </c>
      <c r="H78" s="572">
        <f>C78*G78</f>
        <v>0</v>
      </c>
      <c r="I78" s="572">
        <f>D78*G78</f>
        <v>0.13181124227140592</v>
      </c>
      <c r="J78" s="572">
        <f>G78*E78</f>
        <v>0.13181124227140592</v>
      </c>
    </row>
    <row r="79" spans="1:10" x14ac:dyDescent="0.2">
      <c r="A79" s="570">
        <v>2019</v>
      </c>
      <c r="B79" s="570">
        <v>39</v>
      </c>
      <c r="C79" s="570">
        <v>0</v>
      </c>
      <c r="D79" s="570">
        <v>1</v>
      </c>
      <c r="E79" s="570">
        <v>0</v>
      </c>
      <c r="F79" s="571">
        <v>0.27258036193756852</v>
      </c>
      <c r="G79" s="571">
        <v>2.5312384058544288E-2</v>
      </c>
      <c r="H79" s="572">
        <f>C79*G79</f>
        <v>0</v>
      </c>
      <c r="I79" s="572">
        <f>D79*G79</f>
        <v>2.5312384058544288E-2</v>
      </c>
      <c r="J79" s="572">
        <f>G79*E79</f>
        <v>0</v>
      </c>
    </row>
    <row r="80" spans="1:10" x14ac:dyDescent="0.2">
      <c r="A80" s="570">
        <v>2019</v>
      </c>
      <c r="B80" s="570">
        <v>41</v>
      </c>
      <c r="C80" s="570">
        <v>0</v>
      </c>
      <c r="D80" s="570">
        <v>1</v>
      </c>
      <c r="E80" s="570">
        <v>1</v>
      </c>
      <c r="F80" s="571">
        <v>0.24854085844502197</v>
      </c>
      <c r="G80" s="571">
        <v>0.23888647242202687</v>
      </c>
      <c r="H80" s="572">
        <f>C80*G80</f>
        <v>0</v>
      </c>
      <c r="I80" s="572">
        <f>D80*G80</f>
        <v>0.23888647242202687</v>
      </c>
      <c r="J80" s="572">
        <f>G80*E80</f>
        <v>0.23888647242202687</v>
      </c>
    </row>
    <row r="81" spans="1:10" x14ac:dyDescent="0.2">
      <c r="A81" s="570">
        <v>2018</v>
      </c>
      <c r="B81" s="570">
        <v>41</v>
      </c>
      <c r="C81" s="570">
        <v>0</v>
      </c>
      <c r="D81" s="570">
        <v>1</v>
      </c>
      <c r="E81" s="570">
        <v>1</v>
      </c>
      <c r="F81" s="571">
        <v>0.2704852274136561</v>
      </c>
      <c r="G81" s="571">
        <v>0.18000190209274514</v>
      </c>
      <c r="H81" s="572">
        <f>C81*G81</f>
        <v>0</v>
      </c>
      <c r="I81" s="572">
        <f>D81*G81</f>
        <v>0.18000190209274514</v>
      </c>
      <c r="J81" s="572">
        <f>G81*E81</f>
        <v>0.18000190209274514</v>
      </c>
    </row>
    <row r="82" spans="1:10" x14ac:dyDescent="0.2">
      <c r="A82" s="570">
        <v>2017</v>
      </c>
      <c r="B82" s="570">
        <v>41</v>
      </c>
      <c r="C82" s="570">
        <v>0</v>
      </c>
      <c r="D82" s="570">
        <v>1</v>
      </c>
      <c r="E82" s="570">
        <v>1</v>
      </c>
      <c r="F82" s="571">
        <v>0.65202928291801465</v>
      </c>
      <c r="G82" s="571">
        <v>3.0417448331486529E-2</v>
      </c>
      <c r="H82" s="572">
        <f>C82*G82</f>
        <v>0</v>
      </c>
      <c r="I82" s="572">
        <f>D82*G82</f>
        <v>3.0417448331486529E-2</v>
      </c>
      <c r="J82" s="572">
        <f>G82*E82</f>
        <v>3.0417448331486529E-2</v>
      </c>
    </row>
    <row r="83" spans="1:10" x14ac:dyDescent="0.2">
      <c r="A83" s="570">
        <v>2018</v>
      </c>
      <c r="B83" s="570">
        <v>42</v>
      </c>
      <c r="C83" s="570">
        <v>0</v>
      </c>
      <c r="D83" s="570">
        <v>1</v>
      </c>
      <c r="E83" s="570">
        <v>1</v>
      </c>
      <c r="F83" s="571">
        <v>0.47163704135706325</v>
      </c>
      <c r="G83" s="571">
        <v>0.43393724084555751</v>
      </c>
      <c r="H83" s="572">
        <f>C83*G83</f>
        <v>0</v>
      </c>
      <c r="I83" s="572">
        <f>D83*G83</f>
        <v>0.43393724084555751</v>
      </c>
      <c r="J83" s="572">
        <f>G83*E83</f>
        <v>0.43393724084555751</v>
      </c>
    </row>
    <row r="84" spans="1:10" x14ac:dyDescent="0.2">
      <c r="A84" s="570">
        <v>2017</v>
      </c>
      <c r="B84" s="570">
        <v>42</v>
      </c>
      <c r="C84" s="570">
        <v>0</v>
      </c>
      <c r="D84" s="570">
        <v>1</v>
      </c>
      <c r="E84" s="570">
        <v>1</v>
      </c>
      <c r="F84" s="571">
        <v>0</v>
      </c>
      <c r="G84" s="571">
        <v>0.17923609196107718</v>
      </c>
      <c r="H84" s="572">
        <f>C84*G84</f>
        <v>0</v>
      </c>
      <c r="I84" s="572">
        <f>D84*G84</f>
        <v>0.17923609196107718</v>
      </c>
      <c r="J84" s="572">
        <f>G84*E84</f>
        <v>0.17923609196107718</v>
      </c>
    </row>
    <row r="85" spans="1:10" x14ac:dyDescent="0.2">
      <c r="A85" s="570">
        <v>2019</v>
      </c>
      <c r="B85" s="570">
        <v>42</v>
      </c>
      <c r="C85" s="570">
        <v>0</v>
      </c>
      <c r="D85" s="570">
        <v>1</v>
      </c>
      <c r="E85" s="570">
        <v>1</v>
      </c>
      <c r="F85" s="571">
        <v>0.4586450072655695</v>
      </c>
      <c r="G85" s="571">
        <v>-5.1786369413520897E-2</v>
      </c>
      <c r="H85" s="572">
        <f>C85*G85</f>
        <v>0</v>
      </c>
      <c r="I85" s="572">
        <f>D85*G85</f>
        <v>-5.1786369413520897E-2</v>
      </c>
      <c r="J85" s="572">
        <f>G85*E85</f>
        <v>-5.1786369413520897E-2</v>
      </c>
    </row>
    <row r="86" spans="1:10" x14ac:dyDescent="0.2">
      <c r="A86" s="570">
        <v>2018</v>
      </c>
      <c r="B86" s="570">
        <v>44</v>
      </c>
      <c r="C86" s="570">
        <v>0</v>
      </c>
      <c r="D86" s="570">
        <v>0</v>
      </c>
      <c r="E86" s="570">
        <v>0</v>
      </c>
      <c r="F86" s="571">
        <v>0.11114569128088364</v>
      </c>
      <c r="G86" s="571">
        <v>0.35451273252263699</v>
      </c>
      <c r="H86" s="572">
        <f>C86*G86</f>
        <v>0</v>
      </c>
      <c r="I86" s="572">
        <f>D86*G86</f>
        <v>0</v>
      </c>
      <c r="J86" s="572">
        <f>G86*E86</f>
        <v>0</v>
      </c>
    </row>
    <row r="87" spans="1:10" x14ac:dyDescent="0.2">
      <c r="A87" s="570">
        <v>2017</v>
      </c>
      <c r="B87" s="570">
        <v>44</v>
      </c>
      <c r="C87" s="570">
        <v>0</v>
      </c>
      <c r="D87" s="570">
        <v>0</v>
      </c>
      <c r="E87" s="570">
        <v>0</v>
      </c>
      <c r="F87" s="571">
        <v>0.10732774561501653</v>
      </c>
      <c r="G87" s="571">
        <v>0.24893677904792921</v>
      </c>
      <c r="H87" s="572">
        <f>C87*G87</f>
        <v>0</v>
      </c>
      <c r="I87" s="572">
        <f>D87*G87</f>
        <v>0</v>
      </c>
      <c r="J87" s="572">
        <f>G87*E87</f>
        <v>0</v>
      </c>
    </row>
    <row r="88" spans="1:10" x14ac:dyDescent="0.2">
      <c r="A88" s="570">
        <v>2019</v>
      </c>
      <c r="B88" s="570">
        <v>44</v>
      </c>
      <c r="C88" s="570">
        <v>0</v>
      </c>
      <c r="D88" s="570">
        <v>1</v>
      </c>
      <c r="E88" s="570">
        <v>0</v>
      </c>
      <c r="F88" s="571">
        <v>0.43355712563547272</v>
      </c>
      <c r="G88" s="571">
        <v>-0.16801716740349815</v>
      </c>
      <c r="H88" s="572">
        <f>C88*G88</f>
        <v>0</v>
      </c>
      <c r="I88" s="572">
        <f>D88*G88</f>
        <v>-0.16801716740349815</v>
      </c>
      <c r="J88" s="572">
        <f>G88*E88</f>
        <v>0</v>
      </c>
    </row>
    <row r="89" spans="1:10" x14ac:dyDescent="0.2">
      <c r="A89" s="570">
        <v>2017</v>
      </c>
      <c r="B89" s="570">
        <v>46</v>
      </c>
      <c r="C89" s="570">
        <v>1</v>
      </c>
      <c r="D89" s="570">
        <v>1</v>
      </c>
      <c r="E89" s="570">
        <v>1</v>
      </c>
      <c r="F89" s="571">
        <v>0.10727204934437169</v>
      </c>
      <c r="G89" s="571">
        <v>0.9790442998142016</v>
      </c>
      <c r="H89" s="572">
        <f>C89*G89</f>
        <v>0.9790442998142016</v>
      </c>
      <c r="I89" s="572">
        <f>D89*G89</f>
        <v>0.9790442998142016</v>
      </c>
      <c r="J89" s="572">
        <f>G89*E89</f>
        <v>0.9790442998142016</v>
      </c>
    </row>
    <row r="90" spans="1:10" x14ac:dyDescent="0.2">
      <c r="A90" s="570">
        <v>2018</v>
      </c>
      <c r="B90" s="570">
        <v>46</v>
      </c>
      <c r="C90" s="570">
        <v>1</v>
      </c>
      <c r="D90" s="570">
        <v>1</v>
      </c>
      <c r="E90" s="570">
        <v>1</v>
      </c>
      <c r="F90" s="571">
        <v>0.51897568644239489</v>
      </c>
      <c r="G90" s="571">
        <v>0.47049145986797386</v>
      </c>
      <c r="H90" s="572">
        <f>C90*G90</f>
        <v>0.47049145986797386</v>
      </c>
      <c r="I90" s="572">
        <f>D90*G90</f>
        <v>0.47049145986797386</v>
      </c>
      <c r="J90" s="572">
        <f>G90*E90</f>
        <v>0.47049145986797386</v>
      </c>
    </row>
    <row r="91" spans="1:10" x14ac:dyDescent="0.2">
      <c r="A91" s="570">
        <v>2019</v>
      </c>
      <c r="B91" s="570">
        <v>46</v>
      </c>
      <c r="C91" s="570">
        <v>1</v>
      </c>
      <c r="D91" s="570">
        <v>1</v>
      </c>
      <c r="E91" s="570">
        <v>1</v>
      </c>
      <c r="F91" s="571">
        <v>0.41770904938469194</v>
      </c>
      <c r="G91" s="571">
        <v>2.3246109367802765E-2</v>
      </c>
      <c r="H91" s="572">
        <f>C91*G91</f>
        <v>2.3246109367802765E-2</v>
      </c>
      <c r="I91" s="572">
        <f>D91*G91</f>
        <v>2.3246109367802765E-2</v>
      </c>
      <c r="J91" s="572">
        <f>G91*E91</f>
        <v>2.3246109367802765E-2</v>
      </c>
    </row>
    <row r="92" spans="1:10" x14ac:dyDescent="0.2">
      <c r="A92" s="570">
        <v>2019</v>
      </c>
      <c r="B92" s="570">
        <v>47</v>
      </c>
      <c r="C92" s="570">
        <v>0</v>
      </c>
      <c r="D92" s="570">
        <v>1</v>
      </c>
      <c r="E92" s="570">
        <v>1</v>
      </c>
      <c r="F92" s="571">
        <v>0.22119674185117674</v>
      </c>
      <c r="G92" s="571">
        <v>0.15480637114710449</v>
      </c>
      <c r="H92" s="572">
        <f>C92*G92</f>
        <v>0</v>
      </c>
      <c r="I92" s="572">
        <f>D92*G92</f>
        <v>0.15480637114710449</v>
      </c>
      <c r="J92" s="572">
        <f>G92*E92</f>
        <v>0.15480637114710449</v>
      </c>
    </row>
    <row r="93" spans="1:10" x14ac:dyDescent="0.2">
      <c r="A93" s="570">
        <v>2018</v>
      </c>
      <c r="B93" s="570">
        <v>47</v>
      </c>
      <c r="C93" s="570">
        <v>0</v>
      </c>
      <c r="D93" s="570">
        <v>1</v>
      </c>
      <c r="E93" s="570">
        <v>1</v>
      </c>
      <c r="F93" s="571">
        <v>0.27649862461426122</v>
      </c>
      <c r="G93" s="571">
        <v>0.14886981928356235</v>
      </c>
      <c r="H93" s="572">
        <f>C93*G93</f>
        <v>0</v>
      </c>
      <c r="I93" s="572">
        <f>D93*G93</f>
        <v>0.14886981928356235</v>
      </c>
      <c r="J93" s="572">
        <f>G93*E93</f>
        <v>0.14886981928356235</v>
      </c>
    </row>
    <row r="94" spans="1:10" x14ac:dyDescent="0.2">
      <c r="A94" s="570">
        <v>2017</v>
      </c>
      <c r="B94" s="570">
        <v>47</v>
      </c>
      <c r="C94" s="570">
        <v>0</v>
      </c>
      <c r="D94" s="570">
        <v>1</v>
      </c>
      <c r="E94" s="570">
        <v>1</v>
      </c>
      <c r="F94" s="571">
        <v>0.25285267721629601</v>
      </c>
      <c r="G94" s="571">
        <v>9.2190844166372646E-2</v>
      </c>
      <c r="H94" s="572">
        <f>C94*G94</f>
        <v>0</v>
      </c>
      <c r="I94" s="572">
        <f>D94*G94</f>
        <v>9.2190844166372646E-2</v>
      </c>
      <c r="J94" s="572">
        <f>G94*E94</f>
        <v>9.2190844166372646E-2</v>
      </c>
    </row>
    <row r="95" spans="1:10" x14ac:dyDescent="0.2">
      <c r="A95" s="570">
        <v>2018</v>
      </c>
      <c r="B95" s="570">
        <v>53</v>
      </c>
      <c r="C95" s="570">
        <v>0</v>
      </c>
      <c r="D95" s="570">
        <v>1</v>
      </c>
      <c r="E95" s="570">
        <v>1</v>
      </c>
      <c r="F95" s="571">
        <v>0.22861189112412206</v>
      </c>
      <c r="G95" s="571">
        <v>0.43632228597675299</v>
      </c>
      <c r="H95" s="572">
        <f>C95*G95</f>
        <v>0</v>
      </c>
      <c r="I95" s="572">
        <f>D95*G95</f>
        <v>0.43632228597675299</v>
      </c>
      <c r="J95" s="572">
        <f>G95*E95</f>
        <v>0.43632228597675299</v>
      </c>
    </row>
    <row r="96" spans="1:10" x14ac:dyDescent="0.2">
      <c r="A96" s="570">
        <v>2017</v>
      </c>
      <c r="B96" s="570">
        <v>53</v>
      </c>
      <c r="C96" s="570">
        <v>0</v>
      </c>
      <c r="D96" s="570">
        <v>1</v>
      </c>
      <c r="E96" s="570">
        <v>1</v>
      </c>
      <c r="F96" s="571">
        <v>0.24630973665319519</v>
      </c>
      <c r="G96" s="571">
        <v>0.11154192486115869</v>
      </c>
      <c r="H96" s="572">
        <f>C96*G96</f>
        <v>0</v>
      </c>
      <c r="I96" s="572">
        <f>D96*G96</f>
        <v>0.11154192486115869</v>
      </c>
      <c r="J96" s="572">
        <f>G96*E96</f>
        <v>0.11154192486115869</v>
      </c>
    </row>
    <row r="97" spans="1:10" x14ac:dyDescent="0.2">
      <c r="A97" s="570">
        <v>2019</v>
      </c>
      <c r="B97" s="570">
        <v>53</v>
      </c>
      <c r="C97" s="570">
        <v>0</v>
      </c>
      <c r="D97" s="570">
        <v>1</v>
      </c>
      <c r="E97" s="570">
        <v>1</v>
      </c>
      <c r="F97" s="571">
        <v>0.28072050702848228</v>
      </c>
      <c r="G97" s="571">
        <v>-0.11165062450249227</v>
      </c>
      <c r="H97" s="572">
        <f>C97*G97</f>
        <v>0</v>
      </c>
      <c r="I97" s="572">
        <f>D97*G97</f>
        <v>-0.11165062450249227</v>
      </c>
      <c r="J97" s="572">
        <f>G97*E97</f>
        <v>-0.11165062450249227</v>
      </c>
    </row>
    <row r="98" spans="1:10" x14ac:dyDescent="0.2">
      <c r="A98" s="570">
        <v>2018</v>
      </c>
      <c r="B98" s="570">
        <v>54</v>
      </c>
      <c r="C98" s="570">
        <v>1</v>
      </c>
      <c r="D98" s="570">
        <v>1</v>
      </c>
      <c r="E98" s="570">
        <v>1</v>
      </c>
      <c r="F98" s="571">
        <v>0.1162788945502269</v>
      </c>
      <c r="G98" s="571">
        <v>0.29116597175819053</v>
      </c>
      <c r="H98" s="572">
        <f>C98*G98</f>
        <v>0.29116597175819053</v>
      </c>
      <c r="I98" s="572">
        <f>D98*G98</f>
        <v>0.29116597175819053</v>
      </c>
      <c r="J98" s="572">
        <f>G98*E98</f>
        <v>0.29116597175819053</v>
      </c>
    </row>
    <row r="99" spans="1:10" x14ac:dyDescent="0.2">
      <c r="A99" s="570">
        <v>2017</v>
      </c>
      <c r="B99" s="570">
        <v>54</v>
      </c>
      <c r="C99" s="570">
        <v>1</v>
      </c>
      <c r="D99" s="570">
        <v>1</v>
      </c>
      <c r="E99" s="570">
        <v>0</v>
      </c>
      <c r="F99" s="571">
        <v>0.14315546381267139</v>
      </c>
      <c r="G99" s="571">
        <v>0.12314263488573843</v>
      </c>
      <c r="H99" s="572">
        <f>C99*G99</f>
        <v>0.12314263488573843</v>
      </c>
      <c r="I99" s="572">
        <f>D99*G99</f>
        <v>0.12314263488573843</v>
      </c>
      <c r="J99" s="572">
        <f>G99*E99</f>
        <v>0</v>
      </c>
    </row>
    <row r="100" spans="1:10" x14ac:dyDescent="0.2">
      <c r="A100" s="570">
        <v>2019</v>
      </c>
      <c r="B100" s="570">
        <v>54</v>
      </c>
      <c r="C100" s="570">
        <v>1</v>
      </c>
      <c r="D100" s="570">
        <v>0</v>
      </c>
      <c r="E100" s="570">
        <v>1</v>
      </c>
      <c r="F100" s="571">
        <v>0.14552400305222393</v>
      </c>
      <c r="G100" s="571">
        <v>1.8099173368528038E-2</v>
      </c>
      <c r="H100" s="572">
        <f>C100*G100</f>
        <v>1.8099173368528038E-2</v>
      </c>
      <c r="I100" s="572">
        <f>D100*G100</f>
        <v>0</v>
      </c>
      <c r="J100" s="572">
        <f>G100*E100</f>
        <v>1.8099173368528038E-2</v>
      </c>
    </row>
    <row r="101" spans="1:10" x14ac:dyDescent="0.2">
      <c r="A101" s="570">
        <v>2018</v>
      </c>
      <c r="B101" s="570">
        <v>55</v>
      </c>
      <c r="C101" s="570">
        <v>1</v>
      </c>
      <c r="D101" s="570">
        <v>1</v>
      </c>
      <c r="E101" s="570">
        <v>1</v>
      </c>
      <c r="F101" s="571">
        <v>0.24566738575097338</v>
      </c>
      <c r="G101" s="571">
        <v>7.7205494268306654E-2</v>
      </c>
      <c r="H101" s="572">
        <f>C101*G101</f>
        <v>7.7205494268306654E-2</v>
      </c>
      <c r="I101" s="572">
        <f>D101*G101</f>
        <v>7.7205494268306654E-2</v>
      </c>
      <c r="J101" s="572">
        <f>G101*E101</f>
        <v>7.7205494268306654E-2</v>
      </c>
    </row>
    <row r="102" spans="1:10" x14ac:dyDescent="0.2">
      <c r="A102" s="570">
        <v>2017</v>
      </c>
      <c r="B102" s="570">
        <v>55</v>
      </c>
      <c r="C102" s="570">
        <v>1</v>
      </c>
      <c r="D102" s="570">
        <v>1</v>
      </c>
      <c r="E102" s="570">
        <v>1</v>
      </c>
      <c r="F102" s="571">
        <v>0.25676198945403694</v>
      </c>
      <c r="G102" s="571">
        <v>3.7969560408928953E-2</v>
      </c>
      <c r="H102" s="572">
        <f>C102*G102</f>
        <v>3.7969560408928953E-2</v>
      </c>
      <c r="I102" s="572">
        <f>D102*G102</f>
        <v>3.7969560408928953E-2</v>
      </c>
      <c r="J102" s="572">
        <f>G102*E102</f>
        <v>3.7969560408928953E-2</v>
      </c>
    </row>
    <row r="103" spans="1:10" x14ac:dyDescent="0.2">
      <c r="A103" s="570">
        <v>2019</v>
      </c>
      <c r="B103" s="570">
        <v>55</v>
      </c>
      <c r="C103" s="570">
        <v>1</v>
      </c>
      <c r="D103" s="570">
        <v>1</v>
      </c>
      <c r="E103" s="570">
        <v>1</v>
      </c>
      <c r="F103" s="571">
        <v>0.25360828762223209</v>
      </c>
      <c r="G103" s="571">
        <v>-6.433416099027138E-3</v>
      </c>
      <c r="H103" s="572">
        <f>C103*G103</f>
        <v>-6.433416099027138E-3</v>
      </c>
      <c r="I103" s="572">
        <f>D103*G103</f>
        <v>-6.433416099027138E-3</v>
      </c>
      <c r="J103" s="572">
        <f>G103*E103</f>
        <v>-6.433416099027138E-3</v>
      </c>
    </row>
    <row r="104" spans="1:10" x14ac:dyDescent="0.2">
      <c r="A104" s="570">
        <v>2019</v>
      </c>
      <c r="B104" s="573">
        <v>56</v>
      </c>
      <c r="C104" s="570">
        <v>0</v>
      </c>
      <c r="D104" s="570">
        <v>1</v>
      </c>
      <c r="E104" s="570">
        <v>1</v>
      </c>
      <c r="F104" s="571">
        <v>0.2183660069158366</v>
      </c>
      <c r="G104" s="571">
        <v>0.10109220460450176</v>
      </c>
      <c r="H104" s="572">
        <f>C104*G104</f>
        <v>0</v>
      </c>
      <c r="I104" s="572">
        <f>D104*G104</f>
        <v>0.10109220460450176</v>
      </c>
      <c r="J104" s="572">
        <f>G104*E104</f>
        <v>0.10109220460450176</v>
      </c>
    </row>
    <row r="105" spans="1:10" x14ac:dyDescent="0.2">
      <c r="A105" s="570">
        <v>2018</v>
      </c>
      <c r="B105" s="573">
        <v>56</v>
      </c>
      <c r="C105" s="570">
        <v>0</v>
      </c>
      <c r="D105" s="570">
        <v>1</v>
      </c>
      <c r="E105" s="570">
        <v>1</v>
      </c>
      <c r="F105" s="571">
        <v>0.31108917080374171</v>
      </c>
      <c r="G105" s="571">
        <v>7.882849111679964E-2</v>
      </c>
      <c r="H105" s="572">
        <f>C105*G105</f>
        <v>0</v>
      </c>
      <c r="I105" s="572">
        <f>D105*G105</f>
        <v>7.882849111679964E-2</v>
      </c>
      <c r="J105" s="572">
        <f>G105*E105</f>
        <v>7.882849111679964E-2</v>
      </c>
    </row>
    <row r="106" spans="1:10" x14ac:dyDescent="0.2">
      <c r="A106" s="570">
        <v>2017</v>
      </c>
      <c r="B106" s="573">
        <v>56</v>
      </c>
      <c r="C106" s="570">
        <v>0</v>
      </c>
      <c r="D106" s="570">
        <v>1</v>
      </c>
      <c r="E106" s="570">
        <v>1</v>
      </c>
      <c r="F106" s="571">
        <v>0.35769925676468595</v>
      </c>
      <c r="G106" s="571">
        <v>3.582104861767349E-2</v>
      </c>
      <c r="H106" s="572">
        <f>C106*G106</f>
        <v>0</v>
      </c>
      <c r="I106" s="572">
        <f>D106*G106</f>
        <v>3.582104861767349E-2</v>
      </c>
      <c r="J106" s="572">
        <f>G106*E106</f>
        <v>3.582104861767349E-2</v>
      </c>
    </row>
    <row r="107" spans="1:10" x14ac:dyDescent="0.2">
      <c r="A107" s="570">
        <v>2017</v>
      </c>
      <c r="B107" s="570">
        <v>59</v>
      </c>
      <c r="C107" s="570">
        <v>1</v>
      </c>
      <c r="D107" s="570">
        <v>1</v>
      </c>
      <c r="E107" s="570">
        <v>1</v>
      </c>
      <c r="F107" s="571">
        <v>0.44692496782029612</v>
      </c>
      <c r="G107" s="571">
        <v>5.2912710815463261E-2</v>
      </c>
      <c r="H107" s="572">
        <f>C107*G107</f>
        <v>5.2912710815463261E-2</v>
      </c>
      <c r="I107" s="572">
        <f>D107*G107</f>
        <v>5.2912710815463261E-2</v>
      </c>
      <c r="J107" s="572">
        <f>G107*E107</f>
        <v>5.2912710815463261E-2</v>
      </c>
    </row>
    <row r="108" spans="1:10" x14ac:dyDescent="0.2">
      <c r="A108" s="570">
        <v>2018</v>
      </c>
      <c r="B108" s="570">
        <v>59</v>
      </c>
      <c r="C108" s="570">
        <v>1</v>
      </c>
      <c r="D108" s="570">
        <v>1</v>
      </c>
      <c r="E108" s="570">
        <v>1</v>
      </c>
      <c r="F108" s="571">
        <v>0.46474940264263326</v>
      </c>
      <c r="G108" s="571">
        <v>4.5708285872956583E-2</v>
      </c>
      <c r="H108" s="572">
        <f>C108*G108</f>
        <v>4.5708285872956583E-2</v>
      </c>
      <c r="I108" s="572">
        <f>D108*G108</f>
        <v>4.5708285872956583E-2</v>
      </c>
      <c r="J108" s="572">
        <f>G108*E108</f>
        <v>4.5708285872956583E-2</v>
      </c>
    </row>
    <row r="109" spans="1:10" x14ac:dyDescent="0.2">
      <c r="A109" s="570">
        <v>2019</v>
      </c>
      <c r="B109" s="570">
        <v>59</v>
      </c>
      <c r="C109" s="570">
        <v>1</v>
      </c>
      <c r="D109" s="570">
        <v>1</v>
      </c>
      <c r="E109" s="570">
        <v>1</v>
      </c>
      <c r="F109" s="571">
        <v>0.26992397304637106</v>
      </c>
      <c r="G109" s="571">
        <v>4.3575704783591539E-2</v>
      </c>
      <c r="H109" s="572">
        <f>C109*G109</f>
        <v>4.3575704783591539E-2</v>
      </c>
      <c r="I109" s="572">
        <f>D109*G109</f>
        <v>4.3575704783591539E-2</v>
      </c>
      <c r="J109" s="572">
        <f>G109*E109</f>
        <v>4.3575704783591539E-2</v>
      </c>
    </row>
    <row r="110" spans="1:10" x14ac:dyDescent="0.2">
      <c r="A110" s="570">
        <v>2018</v>
      </c>
      <c r="B110" s="570">
        <v>60</v>
      </c>
      <c r="C110" s="570">
        <v>0</v>
      </c>
      <c r="D110" s="570">
        <v>1</v>
      </c>
      <c r="E110" s="570">
        <v>0</v>
      </c>
      <c r="F110" s="571">
        <v>1.3305539398509538E-2</v>
      </c>
      <c r="G110" s="571">
        <v>0.15313323582998947</v>
      </c>
      <c r="H110" s="572">
        <f>C110*G110</f>
        <v>0</v>
      </c>
      <c r="I110" s="572">
        <f>D110*G110</f>
        <v>0.15313323582998947</v>
      </c>
      <c r="J110" s="572">
        <f>G110*E110</f>
        <v>0</v>
      </c>
    </row>
    <row r="111" spans="1:10" x14ac:dyDescent="0.2">
      <c r="A111" s="570">
        <v>2017</v>
      </c>
      <c r="B111" s="570">
        <v>60</v>
      </c>
      <c r="C111" s="570">
        <v>0</v>
      </c>
      <c r="D111" s="570">
        <v>1</v>
      </c>
      <c r="E111" s="570">
        <v>0</v>
      </c>
      <c r="F111" s="571">
        <v>0.7270034794078567</v>
      </c>
      <c r="G111" s="571">
        <v>8.98626011064073E-2</v>
      </c>
      <c r="H111" s="572">
        <f>C111*G111</f>
        <v>0</v>
      </c>
      <c r="I111" s="572">
        <f>D111*G111</f>
        <v>8.98626011064073E-2</v>
      </c>
      <c r="J111" s="572">
        <f>G111*E111</f>
        <v>0</v>
      </c>
    </row>
    <row r="112" spans="1:10" x14ac:dyDescent="0.2">
      <c r="A112" s="570">
        <v>2019</v>
      </c>
      <c r="B112" s="570">
        <v>60</v>
      </c>
      <c r="C112" s="570">
        <v>0</v>
      </c>
      <c r="D112" s="570">
        <v>1</v>
      </c>
      <c r="E112" s="570">
        <v>0</v>
      </c>
      <c r="F112" s="571">
        <v>2.3315192737381685E-2</v>
      </c>
      <c r="G112" s="571">
        <v>-0.11689264231326775</v>
      </c>
      <c r="H112" s="572">
        <f>C112*G112</f>
        <v>0</v>
      </c>
      <c r="I112" s="572">
        <f>D112*G112</f>
        <v>-0.11689264231326775</v>
      </c>
      <c r="J112" s="572">
        <f>G112*E112</f>
        <v>0</v>
      </c>
    </row>
    <row r="113" spans="1:10" x14ac:dyDescent="0.2">
      <c r="A113" s="570">
        <v>2018</v>
      </c>
      <c r="B113" s="570">
        <v>62</v>
      </c>
      <c r="C113" s="570">
        <v>1</v>
      </c>
      <c r="D113" s="570">
        <v>1</v>
      </c>
      <c r="E113" s="570">
        <v>0</v>
      </c>
      <c r="F113" s="571">
        <v>5.1894992218877209E-2</v>
      </c>
      <c r="G113" s="571">
        <v>0.139506153945954</v>
      </c>
      <c r="H113" s="572">
        <f>C113*G113</f>
        <v>0.139506153945954</v>
      </c>
      <c r="I113" s="572">
        <f>D113*G113</f>
        <v>0.139506153945954</v>
      </c>
      <c r="J113" s="572">
        <f>G113*E113</f>
        <v>0</v>
      </c>
    </row>
    <row r="114" spans="1:10" x14ac:dyDescent="0.2">
      <c r="A114" s="570">
        <v>2017</v>
      </c>
      <c r="B114" s="570">
        <v>62</v>
      </c>
      <c r="C114" s="570">
        <v>1</v>
      </c>
      <c r="D114" s="570">
        <v>1</v>
      </c>
      <c r="E114" s="570">
        <v>0</v>
      </c>
      <c r="F114" s="571">
        <v>0</v>
      </c>
      <c r="G114" s="571">
        <v>0.11429739334791693</v>
      </c>
      <c r="H114" s="572">
        <f>C114*G114</f>
        <v>0.11429739334791693</v>
      </c>
      <c r="I114" s="572">
        <f>D114*G114</f>
        <v>0.11429739334791693</v>
      </c>
      <c r="J114" s="572">
        <f>G114*E114</f>
        <v>0</v>
      </c>
    </row>
    <row r="115" spans="1:10" x14ac:dyDescent="0.2">
      <c r="A115" s="570">
        <v>2019</v>
      </c>
      <c r="B115" s="570">
        <v>62</v>
      </c>
      <c r="C115" s="570">
        <v>1</v>
      </c>
      <c r="D115" s="570">
        <v>1</v>
      </c>
      <c r="E115" s="570">
        <v>0</v>
      </c>
      <c r="F115" s="571">
        <v>0.39092026328421675</v>
      </c>
      <c r="G115" s="571">
        <v>-6.6920362399682271E-2</v>
      </c>
      <c r="H115" s="572">
        <f>C115*G115</f>
        <v>-6.6920362399682271E-2</v>
      </c>
      <c r="I115" s="572">
        <f>D115*G115</f>
        <v>-6.6920362399682271E-2</v>
      </c>
      <c r="J115" s="572">
        <f>G115*E115</f>
        <v>0</v>
      </c>
    </row>
    <row r="116" spans="1:10" x14ac:dyDescent="0.2">
      <c r="A116" s="570">
        <v>2018</v>
      </c>
      <c r="B116" s="570">
        <v>63</v>
      </c>
      <c r="C116" s="570">
        <v>0</v>
      </c>
      <c r="D116" s="570">
        <v>1</v>
      </c>
      <c r="E116" s="570">
        <v>1</v>
      </c>
      <c r="F116" s="571">
        <v>0.11930994801623618</v>
      </c>
      <c r="G116" s="571">
        <v>5.2599327942748533E-2</v>
      </c>
      <c r="H116" s="572">
        <f>C116*G116</f>
        <v>0</v>
      </c>
      <c r="I116" s="572">
        <f>D116*G116</f>
        <v>5.2599327942748533E-2</v>
      </c>
      <c r="J116" s="572">
        <f>G116*E116</f>
        <v>5.2599327942748533E-2</v>
      </c>
    </row>
    <row r="117" spans="1:10" x14ac:dyDescent="0.2">
      <c r="A117" s="570">
        <v>2019</v>
      </c>
      <c r="B117" s="570">
        <v>63</v>
      </c>
      <c r="C117" s="570">
        <v>0</v>
      </c>
      <c r="D117" s="570">
        <v>1</v>
      </c>
      <c r="E117" s="570">
        <v>1</v>
      </c>
      <c r="F117" s="571">
        <v>3.3454763492528905E-2</v>
      </c>
      <c r="G117" s="571">
        <v>4.9312116173214154E-2</v>
      </c>
      <c r="H117" s="572">
        <f>C117*G117</f>
        <v>0</v>
      </c>
      <c r="I117" s="572">
        <f>D117*G117</f>
        <v>4.9312116173214154E-2</v>
      </c>
      <c r="J117" s="572">
        <f>G117*E117</f>
        <v>4.9312116173214154E-2</v>
      </c>
    </row>
    <row r="118" spans="1:10" x14ac:dyDescent="0.2">
      <c r="A118" s="570">
        <v>2017</v>
      </c>
      <c r="B118" s="570">
        <v>63</v>
      </c>
      <c r="C118" s="570">
        <v>0</v>
      </c>
      <c r="D118" s="570">
        <v>1</v>
      </c>
      <c r="E118" s="570">
        <v>1</v>
      </c>
      <c r="F118" s="571">
        <v>0.12002986028341919</v>
      </c>
      <c r="G118" s="571">
        <v>-6.0583870712817053E-2</v>
      </c>
      <c r="H118" s="572">
        <f>C118*G118</f>
        <v>0</v>
      </c>
      <c r="I118" s="572">
        <f>D118*G118</f>
        <v>-6.0583870712817053E-2</v>
      </c>
      <c r="J118" s="572">
        <f>G118*E118</f>
        <v>-6.0583870712817053E-2</v>
      </c>
    </row>
    <row r="119" spans="1:10" x14ac:dyDescent="0.2">
      <c r="A119" s="570">
        <v>2018</v>
      </c>
      <c r="B119" s="570">
        <v>64</v>
      </c>
      <c r="C119" s="570">
        <v>0</v>
      </c>
      <c r="D119" s="570">
        <v>1</v>
      </c>
      <c r="E119" s="570">
        <v>0</v>
      </c>
      <c r="F119" s="571">
        <v>0.51987927280915236</v>
      </c>
      <c r="G119" s="571">
        <v>0.13649893623732579</v>
      </c>
      <c r="H119" s="572">
        <f>C119*G119</f>
        <v>0</v>
      </c>
      <c r="I119" s="572">
        <f>D119*G119</f>
        <v>0.13649893623732579</v>
      </c>
      <c r="J119" s="572">
        <f>G119*E119</f>
        <v>0</v>
      </c>
    </row>
    <row r="120" spans="1:10" x14ac:dyDescent="0.2">
      <c r="A120" s="570">
        <v>2017</v>
      </c>
      <c r="B120" s="570">
        <v>64</v>
      </c>
      <c r="C120" s="570">
        <v>0</v>
      </c>
      <c r="D120" s="570">
        <v>1</v>
      </c>
      <c r="E120" s="570">
        <v>0</v>
      </c>
      <c r="F120" s="571">
        <v>0</v>
      </c>
      <c r="G120" s="571">
        <v>-1.4465821366318502E-2</v>
      </c>
      <c r="H120" s="572">
        <f>C120*G120</f>
        <v>0</v>
      </c>
      <c r="I120" s="572">
        <f>D120*G120</f>
        <v>-1.4465821366318502E-2</v>
      </c>
      <c r="J120" s="572">
        <f>G120*E120</f>
        <v>0</v>
      </c>
    </row>
    <row r="121" spans="1:10" x14ac:dyDescent="0.2">
      <c r="A121" s="570">
        <v>2019</v>
      </c>
      <c r="B121" s="570">
        <v>64</v>
      </c>
      <c r="C121" s="570">
        <v>0</v>
      </c>
      <c r="D121" s="570">
        <v>1</v>
      </c>
      <c r="E121" s="570">
        <v>0</v>
      </c>
      <c r="F121" s="571">
        <v>0.20089709717754717</v>
      </c>
      <c r="G121" s="571">
        <v>-7.2363449334210919E-2</v>
      </c>
      <c r="H121" s="572">
        <f>C121*G121</f>
        <v>0</v>
      </c>
      <c r="I121" s="572">
        <f>D121*G121</f>
        <v>-7.2363449334210919E-2</v>
      </c>
      <c r="J121" s="572">
        <f>G121*E121</f>
        <v>0</v>
      </c>
    </row>
    <row r="122" spans="1:10" x14ac:dyDescent="0.2">
      <c r="A122" s="570">
        <v>2019</v>
      </c>
      <c r="B122" s="570">
        <v>66</v>
      </c>
      <c r="C122" s="570">
        <v>0</v>
      </c>
      <c r="D122" s="570">
        <v>1</v>
      </c>
      <c r="E122" s="570">
        <v>0</v>
      </c>
      <c r="F122" s="571">
        <v>0.57409499220052718</v>
      </c>
      <c r="G122" s="571">
        <v>0.26981137754943701</v>
      </c>
      <c r="H122" s="572">
        <f>C122*G122</f>
        <v>0</v>
      </c>
      <c r="I122" s="572">
        <f>D122*G122</f>
        <v>0.26981137754943701</v>
      </c>
      <c r="J122" s="572">
        <f>G122*E122</f>
        <v>0</v>
      </c>
    </row>
    <row r="123" spans="1:10" x14ac:dyDescent="0.2">
      <c r="A123" s="570">
        <v>2017</v>
      </c>
      <c r="B123" s="570">
        <v>66</v>
      </c>
      <c r="C123" s="570">
        <v>0</v>
      </c>
      <c r="D123" s="570">
        <v>1</v>
      </c>
      <c r="E123" s="570">
        <v>1</v>
      </c>
      <c r="F123" s="571">
        <v>0.16460206322243859</v>
      </c>
      <c r="G123" s="571">
        <v>0.23740132605236663</v>
      </c>
      <c r="H123" s="572">
        <f>C123*G123</f>
        <v>0</v>
      </c>
      <c r="I123" s="572">
        <f>D123*G123</f>
        <v>0.23740132605236663</v>
      </c>
      <c r="J123" s="572">
        <f>G123*E123</f>
        <v>0.23740132605236663</v>
      </c>
    </row>
    <row r="124" spans="1:10" x14ac:dyDescent="0.2">
      <c r="A124" s="570">
        <v>2018</v>
      </c>
      <c r="B124" s="570">
        <v>66</v>
      </c>
      <c r="C124" s="570">
        <v>0</v>
      </c>
      <c r="D124" s="570">
        <v>1</v>
      </c>
      <c r="E124" s="570">
        <v>1</v>
      </c>
      <c r="F124" s="571">
        <v>0.29740882995837903</v>
      </c>
      <c r="G124" s="571">
        <v>-0.99873018862245055</v>
      </c>
      <c r="H124" s="572">
        <f>C124*G124</f>
        <v>0</v>
      </c>
      <c r="I124" s="572">
        <f>D124*G124</f>
        <v>-0.99873018862245055</v>
      </c>
      <c r="J124" s="572">
        <f>G124*E124</f>
        <v>-0.99873018862245055</v>
      </c>
    </row>
    <row r="125" spans="1:10" x14ac:dyDescent="0.2">
      <c r="A125" s="570">
        <v>2018</v>
      </c>
      <c r="B125" s="570">
        <v>67</v>
      </c>
      <c r="C125" s="570">
        <v>1</v>
      </c>
      <c r="D125" s="570">
        <v>1</v>
      </c>
      <c r="E125" s="570">
        <v>1</v>
      </c>
      <c r="F125" s="571">
        <v>2.273177301655413E-2</v>
      </c>
      <c r="G125" s="571">
        <v>0.14898231538973758</v>
      </c>
      <c r="H125" s="572">
        <f>C125*G125</f>
        <v>0.14898231538973758</v>
      </c>
      <c r="I125" s="572">
        <f>D125*G125</f>
        <v>0.14898231538973758</v>
      </c>
      <c r="J125" s="572">
        <f>G125*E125</f>
        <v>0.14898231538973758</v>
      </c>
    </row>
    <row r="126" spans="1:10" x14ac:dyDescent="0.2">
      <c r="A126" s="570">
        <v>2017</v>
      </c>
      <c r="B126" s="570">
        <v>67</v>
      </c>
      <c r="C126" s="570">
        <v>1</v>
      </c>
      <c r="D126" s="570">
        <v>1</v>
      </c>
      <c r="E126" s="570">
        <v>1</v>
      </c>
      <c r="F126" s="571">
        <v>0.38772775976031187</v>
      </c>
      <c r="G126" s="571">
        <v>9.3831020669681575E-2</v>
      </c>
      <c r="H126" s="572">
        <f>C126*G126</f>
        <v>9.3831020669681575E-2</v>
      </c>
      <c r="I126" s="572">
        <f>D126*G126</f>
        <v>9.3831020669681575E-2</v>
      </c>
      <c r="J126" s="572">
        <f>G126*E126</f>
        <v>9.3831020669681575E-2</v>
      </c>
    </row>
    <row r="127" spans="1:10" x14ac:dyDescent="0.2">
      <c r="A127" s="570">
        <v>2019</v>
      </c>
      <c r="B127" s="570">
        <v>67</v>
      </c>
      <c r="C127" s="570">
        <v>1</v>
      </c>
      <c r="D127" s="570">
        <v>1</v>
      </c>
      <c r="E127" s="570">
        <v>1</v>
      </c>
      <c r="F127" s="571">
        <v>3.2992610395339614E-2</v>
      </c>
      <c r="G127" s="571">
        <v>8.0251633458006386E-2</v>
      </c>
      <c r="H127" s="572">
        <f>C127*G127</f>
        <v>8.0251633458006386E-2</v>
      </c>
      <c r="I127" s="572">
        <f>D127*G127</f>
        <v>8.0251633458006386E-2</v>
      </c>
      <c r="J127" s="572">
        <f>G127*E127</f>
        <v>8.0251633458006386E-2</v>
      </c>
    </row>
    <row r="128" spans="1:10" x14ac:dyDescent="0.2">
      <c r="A128" s="570">
        <v>2018</v>
      </c>
      <c r="B128" s="570">
        <v>68</v>
      </c>
      <c r="C128" s="570">
        <v>0</v>
      </c>
      <c r="D128" s="570">
        <v>1</v>
      </c>
      <c r="E128" s="570">
        <v>1</v>
      </c>
      <c r="F128" s="571">
        <v>0.19426142537065183</v>
      </c>
      <c r="G128" s="571">
        <v>0.14720559845529033</v>
      </c>
      <c r="H128" s="572">
        <f>C128*G128</f>
        <v>0</v>
      </c>
      <c r="I128" s="572">
        <f>D128*G128</f>
        <v>0.14720559845529033</v>
      </c>
      <c r="J128" s="572">
        <f>G128*E128</f>
        <v>0.14720559845529033</v>
      </c>
    </row>
    <row r="129" spans="1:10" x14ac:dyDescent="0.2">
      <c r="A129" s="570">
        <v>2019</v>
      </c>
      <c r="B129" s="570">
        <v>68</v>
      </c>
      <c r="C129" s="570">
        <v>0</v>
      </c>
      <c r="D129" s="570">
        <v>1</v>
      </c>
      <c r="E129" s="570">
        <v>1</v>
      </c>
      <c r="F129" s="571">
        <v>0.29254268803232025</v>
      </c>
      <c r="G129" s="571">
        <v>6.0799220017181722E-2</v>
      </c>
      <c r="H129" s="572">
        <f>C129*G129</f>
        <v>0</v>
      </c>
      <c r="I129" s="572">
        <f>D129*G129</f>
        <v>6.0799220017181722E-2</v>
      </c>
      <c r="J129" s="572">
        <f>G129*E129</f>
        <v>6.0799220017181722E-2</v>
      </c>
    </row>
    <row r="130" spans="1:10" x14ac:dyDescent="0.2">
      <c r="A130" s="570">
        <v>2017</v>
      </c>
      <c r="B130" s="570">
        <v>68</v>
      </c>
      <c r="C130" s="570">
        <v>0</v>
      </c>
      <c r="D130" s="570">
        <v>1</v>
      </c>
      <c r="E130" s="570">
        <v>1</v>
      </c>
      <c r="F130" s="571">
        <v>0</v>
      </c>
      <c r="G130" s="571">
        <v>-3.342063763069094E-2</v>
      </c>
      <c r="H130" s="572">
        <f>C130*G130</f>
        <v>0</v>
      </c>
      <c r="I130" s="572">
        <f>D130*G130</f>
        <v>-3.342063763069094E-2</v>
      </c>
      <c r="J130" s="572">
        <f>G130*E130</f>
        <v>-3.342063763069094E-2</v>
      </c>
    </row>
    <row r="131" spans="1:10" x14ac:dyDescent="0.2">
      <c r="A131" s="570">
        <v>2018</v>
      </c>
      <c r="B131" s="570">
        <v>69</v>
      </c>
      <c r="C131" s="570">
        <v>1</v>
      </c>
      <c r="D131" s="570">
        <v>1</v>
      </c>
      <c r="E131" s="570">
        <v>0</v>
      </c>
      <c r="F131" s="571">
        <v>0.1608330470988065</v>
      </c>
      <c r="G131" s="571">
        <v>0.3305084026102556</v>
      </c>
      <c r="H131" s="572">
        <f>C131*G131</f>
        <v>0.3305084026102556</v>
      </c>
      <c r="I131" s="572">
        <f>D131*G131</f>
        <v>0.3305084026102556</v>
      </c>
      <c r="J131" s="572">
        <f>G131*E131</f>
        <v>0</v>
      </c>
    </row>
    <row r="132" spans="1:10" x14ac:dyDescent="0.2">
      <c r="A132" s="570">
        <v>2017</v>
      </c>
      <c r="B132" s="570">
        <v>69</v>
      </c>
      <c r="C132" s="570">
        <v>1</v>
      </c>
      <c r="D132" s="570">
        <v>1</v>
      </c>
      <c r="E132" s="570">
        <v>0</v>
      </c>
      <c r="F132" s="571">
        <v>0.23188619477728337</v>
      </c>
      <c r="G132" s="571">
        <v>0.1331729584712231</v>
      </c>
      <c r="H132" s="572">
        <f>C132*G132</f>
        <v>0.1331729584712231</v>
      </c>
      <c r="I132" s="572">
        <f>D132*G132</f>
        <v>0.1331729584712231</v>
      </c>
      <c r="J132" s="572">
        <f>G132*E132</f>
        <v>0</v>
      </c>
    </row>
    <row r="133" spans="1:10" x14ac:dyDescent="0.2">
      <c r="A133" s="570">
        <v>2019</v>
      </c>
      <c r="B133" s="570">
        <v>69</v>
      </c>
      <c r="C133" s="570">
        <v>1</v>
      </c>
      <c r="D133" s="570">
        <v>1</v>
      </c>
      <c r="E133" s="570">
        <v>1</v>
      </c>
      <c r="F133" s="571">
        <v>0.17093818574834263</v>
      </c>
      <c r="G133" s="571">
        <v>6.1467383638402859E-2</v>
      </c>
      <c r="H133" s="572">
        <f>C133*G133</f>
        <v>6.1467383638402859E-2</v>
      </c>
      <c r="I133" s="572">
        <f>D133*G133</f>
        <v>6.1467383638402859E-2</v>
      </c>
      <c r="J133" s="572">
        <f>G133*E133</f>
        <v>6.1467383638402859E-2</v>
      </c>
    </row>
    <row r="134" spans="1:10" x14ac:dyDescent="0.2">
      <c r="A134" s="570">
        <v>2017</v>
      </c>
      <c r="B134" s="570">
        <v>71</v>
      </c>
      <c r="C134" s="570">
        <v>1</v>
      </c>
      <c r="D134" s="570">
        <v>1</v>
      </c>
      <c r="E134" s="570">
        <v>1</v>
      </c>
      <c r="F134" s="571">
        <v>0.74182402531576297</v>
      </c>
      <c r="G134" s="571">
        <v>2.1748171348454078E-2</v>
      </c>
      <c r="H134" s="572">
        <f>C134*G134</f>
        <v>2.1748171348454078E-2</v>
      </c>
      <c r="I134" s="572">
        <f>D134*G134</f>
        <v>2.1748171348454078E-2</v>
      </c>
      <c r="J134" s="572">
        <f>G134*E134</f>
        <v>2.1748171348454078E-2</v>
      </c>
    </row>
    <row r="135" spans="1:10" x14ac:dyDescent="0.2">
      <c r="A135" s="570">
        <v>2018</v>
      </c>
      <c r="B135" s="570">
        <v>71</v>
      </c>
      <c r="C135" s="570">
        <v>1</v>
      </c>
      <c r="D135" s="570">
        <v>1</v>
      </c>
      <c r="E135" s="570">
        <v>1</v>
      </c>
      <c r="F135" s="571">
        <v>0.97974232427721086</v>
      </c>
      <c r="G135" s="571">
        <v>-9.4461266986062664E-2</v>
      </c>
      <c r="H135" s="572">
        <f>C135*G135</f>
        <v>-9.4461266986062664E-2</v>
      </c>
      <c r="I135" s="572">
        <f>D135*G135</f>
        <v>-9.4461266986062664E-2</v>
      </c>
      <c r="J135" s="572">
        <f>G135*E135</f>
        <v>-9.4461266986062664E-2</v>
      </c>
    </row>
    <row r="136" spans="1:10" x14ac:dyDescent="0.2">
      <c r="A136" s="570">
        <v>2019</v>
      </c>
      <c r="B136" s="570">
        <v>71</v>
      </c>
      <c r="C136" s="570">
        <v>1</v>
      </c>
      <c r="D136" s="570">
        <v>1</v>
      </c>
      <c r="E136" s="570">
        <v>1</v>
      </c>
      <c r="F136" s="571">
        <v>0.41809191007095159</v>
      </c>
      <c r="G136" s="571">
        <v>-0.16885988887458173</v>
      </c>
      <c r="H136" s="572">
        <f>C136*G136</f>
        <v>-0.16885988887458173</v>
      </c>
      <c r="I136" s="572">
        <f>D136*G136</f>
        <v>-0.16885988887458173</v>
      </c>
      <c r="J136" s="572">
        <f>G136*E136</f>
        <v>-0.16885988887458173</v>
      </c>
    </row>
    <row r="137" spans="1:10" x14ac:dyDescent="0.2">
      <c r="A137" s="570">
        <v>2018</v>
      </c>
      <c r="B137" s="570">
        <v>72</v>
      </c>
      <c r="C137" s="570">
        <v>1</v>
      </c>
      <c r="D137" s="570">
        <v>1</v>
      </c>
      <c r="E137" s="570">
        <v>1</v>
      </c>
      <c r="F137" s="571">
        <v>0.17245671367662793</v>
      </c>
      <c r="G137" s="571">
        <v>0.14271071053375822</v>
      </c>
      <c r="H137" s="572">
        <f>C137*G137</f>
        <v>0.14271071053375822</v>
      </c>
      <c r="I137" s="572">
        <f>D137*G137</f>
        <v>0.14271071053375822</v>
      </c>
      <c r="J137" s="572">
        <f>G137*E137</f>
        <v>0.14271071053375822</v>
      </c>
    </row>
    <row r="138" spans="1:10" x14ac:dyDescent="0.2">
      <c r="A138" s="570">
        <v>2017</v>
      </c>
      <c r="B138" s="570">
        <v>72</v>
      </c>
      <c r="C138" s="570">
        <v>1</v>
      </c>
      <c r="D138" s="570">
        <v>1</v>
      </c>
      <c r="E138" s="570">
        <v>1</v>
      </c>
      <c r="F138" s="571">
        <v>0.38621542298714434</v>
      </c>
      <c r="G138" s="571">
        <v>-9.5158532922338057E-2</v>
      </c>
      <c r="H138" s="572">
        <f>C138*G138</f>
        <v>-9.5158532922338057E-2</v>
      </c>
      <c r="I138" s="572">
        <f>D138*G138</f>
        <v>-9.5158532922338057E-2</v>
      </c>
      <c r="J138" s="572">
        <f>G138*E138</f>
        <v>-9.5158532922338057E-2</v>
      </c>
    </row>
    <row r="139" spans="1:10" x14ac:dyDescent="0.2">
      <c r="A139" s="570">
        <v>2019</v>
      </c>
      <c r="B139" s="570">
        <v>72</v>
      </c>
      <c r="C139" s="570">
        <v>1</v>
      </c>
      <c r="D139" s="570">
        <v>1</v>
      </c>
      <c r="E139" s="570">
        <v>1</v>
      </c>
      <c r="F139" s="571">
        <v>0.17104428140252526</v>
      </c>
      <c r="G139" s="571">
        <v>-0.87045224314459402</v>
      </c>
      <c r="H139" s="572">
        <f>C139*G139</f>
        <v>-0.87045224314459402</v>
      </c>
      <c r="I139" s="572">
        <f>D139*G139</f>
        <v>-0.87045224314459402</v>
      </c>
      <c r="J139" s="572">
        <f>G139*E139</f>
        <v>-0.87045224314459402</v>
      </c>
    </row>
    <row r="140" spans="1:10" x14ac:dyDescent="0.2">
      <c r="A140" s="570">
        <v>2019</v>
      </c>
      <c r="B140" s="570">
        <v>73</v>
      </c>
      <c r="C140" s="570">
        <v>1</v>
      </c>
      <c r="D140" s="570">
        <v>1</v>
      </c>
      <c r="E140" s="570">
        <v>1</v>
      </c>
      <c r="F140" s="571">
        <v>0.24672465977453115</v>
      </c>
      <c r="G140" s="571">
        <v>7.3984413116517406E-2</v>
      </c>
      <c r="H140" s="572">
        <f>C140*G140</f>
        <v>7.3984413116517406E-2</v>
      </c>
      <c r="I140" s="572">
        <f>D140*G140</f>
        <v>7.3984413116517406E-2</v>
      </c>
      <c r="J140" s="572">
        <f>G140*E140</f>
        <v>7.3984413116517406E-2</v>
      </c>
    </row>
    <row r="141" spans="1:10" x14ac:dyDescent="0.2">
      <c r="A141" s="570">
        <v>2018</v>
      </c>
      <c r="B141" s="570">
        <v>73</v>
      </c>
      <c r="C141" s="570">
        <v>1</v>
      </c>
      <c r="D141" s="570">
        <v>1</v>
      </c>
      <c r="E141" s="570">
        <v>1</v>
      </c>
      <c r="F141" s="571">
        <v>0.25348018921322873</v>
      </c>
      <c r="G141" s="571">
        <v>4.4206753901247613E-2</v>
      </c>
      <c r="H141" s="572">
        <f>C141*G141</f>
        <v>4.4206753901247613E-2</v>
      </c>
      <c r="I141" s="572">
        <f>D141*G141</f>
        <v>4.4206753901247613E-2</v>
      </c>
      <c r="J141" s="572">
        <f>G141*E141</f>
        <v>4.4206753901247613E-2</v>
      </c>
    </row>
    <row r="142" spans="1:10" x14ac:dyDescent="0.2">
      <c r="A142" s="570">
        <v>2017</v>
      </c>
      <c r="B142" s="570">
        <v>73</v>
      </c>
      <c r="C142" s="570">
        <v>1</v>
      </c>
      <c r="D142" s="570">
        <v>1</v>
      </c>
      <c r="E142" s="570">
        <v>1</v>
      </c>
      <c r="F142" s="571">
        <v>0.24136730361301958</v>
      </c>
      <c r="G142" s="571">
        <v>4.1699162711697095E-2</v>
      </c>
      <c r="H142" s="572">
        <f>C142*G142</f>
        <v>4.1699162711697095E-2</v>
      </c>
      <c r="I142" s="572">
        <f>D142*G142</f>
        <v>4.1699162711697095E-2</v>
      </c>
      <c r="J142" s="572">
        <f>G142*E142</f>
        <v>4.1699162711697095E-2</v>
      </c>
    </row>
    <row r="143" spans="1:10" x14ac:dyDescent="0.2">
      <c r="A143" s="570">
        <v>2017</v>
      </c>
      <c r="B143" s="570">
        <v>74</v>
      </c>
      <c r="C143" s="570">
        <v>1</v>
      </c>
      <c r="D143" s="570">
        <v>1</v>
      </c>
      <c r="E143" s="570">
        <v>1</v>
      </c>
      <c r="F143" s="571">
        <v>7.3575559166868407E-2</v>
      </c>
      <c r="G143" s="571">
        <v>4.6587326541764504</v>
      </c>
      <c r="H143" s="572">
        <f>C143*G143</f>
        <v>4.6587326541764504</v>
      </c>
      <c r="I143" s="572">
        <f>D143*G143</f>
        <v>4.6587326541764504</v>
      </c>
      <c r="J143" s="572">
        <f>G143*E143</f>
        <v>4.6587326541764504</v>
      </c>
    </row>
    <row r="144" spans="1:10" x14ac:dyDescent="0.2">
      <c r="A144" s="570">
        <v>2018</v>
      </c>
      <c r="B144" s="570">
        <v>74</v>
      </c>
      <c r="C144" s="570">
        <v>1</v>
      </c>
      <c r="D144" s="570">
        <v>1</v>
      </c>
      <c r="E144" s="570">
        <v>1</v>
      </c>
      <c r="F144" s="571">
        <v>1.9799981889565086E-2</v>
      </c>
      <c r="G144" s="571">
        <v>3.5951755617090799</v>
      </c>
      <c r="H144" s="572">
        <f>C144*G144</f>
        <v>3.5951755617090799</v>
      </c>
      <c r="I144" s="572">
        <f>D144*G144</f>
        <v>3.5951755617090799</v>
      </c>
      <c r="J144" s="572">
        <f>G144*E144</f>
        <v>3.5951755617090799</v>
      </c>
    </row>
    <row r="145" spans="1:10" x14ac:dyDescent="0.2">
      <c r="A145" s="570">
        <v>2019</v>
      </c>
      <c r="B145" s="570">
        <v>74</v>
      </c>
      <c r="C145" s="570">
        <v>1</v>
      </c>
      <c r="D145" s="570">
        <v>1</v>
      </c>
      <c r="E145" s="570">
        <v>1</v>
      </c>
      <c r="F145" s="571">
        <v>0.14462398632136969</v>
      </c>
      <c r="G145" s="571">
        <v>0.61044986598760198</v>
      </c>
      <c r="H145" s="572">
        <f>C145*G145</f>
        <v>0.61044986598760198</v>
      </c>
      <c r="I145" s="572">
        <f>D145*G145</f>
        <v>0.61044986598760198</v>
      </c>
      <c r="J145" s="572">
        <f>G145*E145</f>
        <v>0.61044986598760198</v>
      </c>
    </row>
    <row r="146" spans="1:10" x14ac:dyDescent="0.2">
      <c r="A146" s="570">
        <v>2017</v>
      </c>
      <c r="B146" s="570">
        <v>75</v>
      </c>
      <c r="C146" s="570">
        <v>1</v>
      </c>
      <c r="D146" s="570">
        <v>0</v>
      </c>
      <c r="E146" s="570">
        <v>1</v>
      </c>
      <c r="F146" s="571">
        <v>0.26255598501143407</v>
      </c>
      <c r="G146" s="571">
        <v>0.15060079663904574</v>
      </c>
      <c r="H146" s="572">
        <f>C146*G146</f>
        <v>0.15060079663904574</v>
      </c>
      <c r="I146" s="572">
        <f>D146*G146</f>
        <v>0</v>
      </c>
      <c r="J146" s="572">
        <f>G146*E146</f>
        <v>0.15060079663904574</v>
      </c>
    </row>
    <row r="147" spans="1:10" x14ac:dyDescent="0.2">
      <c r="A147" s="570">
        <v>2018</v>
      </c>
      <c r="B147" s="570">
        <v>75</v>
      </c>
      <c r="C147" s="570">
        <v>1</v>
      </c>
      <c r="D147" s="570">
        <v>0</v>
      </c>
      <c r="E147" s="570">
        <v>1</v>
      </c>
      <c r="F147" s="571">
        <v>0.33442957404577972</v>
      </c>
      <c r="G147" s="571">
        <v>9.688090236712503E-2</v>
      </c>
      <c r="H147" s="572">
        <f>C147*G147</f>
        <v>9.688090236712503E-2</v>
      </c>
      <c r="I147" s="572">
        <f>D147*G147</f>
        <v>0</v>
      </c>
      <c r="J147" s="572">
        <f>G147*E147</f>
        <v>9.688090236712503E-2</v>
      </c>
    </row>
    <row r="148" spans="1:10" x14ac:dyDescent="0.2">
      <c r="A148" s="570">
        <v>2019</v>
      </c>
      <c r="B148" s="570">
        <v>75</v>
      </c>
      <c r="C148" s="570">
        <v>1</v>
      </c>
      <c r="D148" s="570">
        <v>1</v>
      </c>
      <c r="E148" s="570">
        <v>1</v>
      </c>
      <c r="F148" s="571">
        <v>0.26357345399163273</v>
      </c>
      <c r="G148" s="571">
        <v>7.2144243426875698E-3</v>
      </c>
      <c r="H148" s="572">
        <f>C148*G148</f>
        <v>7.2144243426875698E-3</v>
      </c>
      <c r="I148" s="572">
        <f>D148*G148</f>
        <v>7.2144243426875698E-3</v>
      </c>
      <c r="J148" s="572">
        <f>G148*E148</f>
        <v>7.2144243426875698E-3</v>
      </c>
    </row>
    <row r="149" spans="1:10" x14ac:dyDescent="0.2">
      <c r="A149" s="570">
        <v>2018</v>
      </c>
      <c r="B149" s="570">
        <v>77</v>
      </c>
      <c r="C149" s="570">
        <v>1</v>
      </c>
      <c r="D149" s="570">
        <v>1</v>
      </c>
      <c r="E149" s="570">
        <v>1</v>
      </c>
      <c r="F149" s="571">
        <v>4.8885019168257736E-2</v>
      </c>
      <c r="G149" s="571">
        <v>0.45753483304563081</v>
      </c>
      <c r="H149" s="572">
        <f>C149*G149</f>
        <v>0.45753483304563081</v>
      </c>
      <c r="I149" s="572">
        <f>D149*G149</f>
        <v>0.45753483304563081</v>
      </c>
      <c r="J149" s="572">
        <f>G149*E149</f>
        <v>0.45753483304563081</v>
      </c>
    </row>
    <row r="150" spans="1:10" x14ac:dyDescent="0.2">
      <c r="A150" s="570">
        <v>2017</v>
      </c>
      <c r="B150" s="570">
        <v>77</v>
      </c>
      <c r="C150" s="570">
        <v>1</v>
      </c>
      <c r="D150" s="570">
        <v>1</v>
      </c>
      <c r="E150" s="570">
        <v>1</v>
      </c>
      <c r="F150" s="571">
        <v>0.34114952672108584</v>
      </c>
      <c r="G150" s="571">
        <v>-1.8211456593199331E-2</v>
      </c>
      <c r="H150" s="572">
        <f>C150*G150</f>
        <v>-1.8211456593199331E-2</v>
      </c>
      <c r="I150" s="572">
        <f>D150*G150</f>
        <v>-1.8211456593199331E-2</v>
      </c>
      <c r="J150" s="572">
        <f>G150*E150</f>
        <v>-1.8211456593199331E-2</v>
      </c>
    </row>
    <row r="151" spans="1:10" x14ac:dyDescent="0.2">
      <c r="A151" s="570">
        <v>2019</v>
      </c>
      <c r="B151" s="570">
        <v>77</v>
      </c>
      <c r="C151" s="570">
        <v>1</v>
      </c>
      <c r="D151" s="570">
        <v>1</v>
      </c>
      <c r="E151" s="570">
        <v>0</v>
      </c>
      <c r="F151" s="571">
        <v>0.13768639309673616</v>
      </c>
      <c r="G151" s="571">
        <v>-0.21933710915876167</v>
      </c>
      <c r="H151" s="572">
        <f>C151*G151</f>
        <v>-0.21933710915876167</v>
      </c>
      <c r="I151" s="572">
        <f>D151*G151</f>
        <v>-0.21933710915876167</v>
      </c>
      <c r="J151" s="572">
        <f>G151*E151</f>
        <v>0</v>
      </c>
    </row>
    <row r="152" spans="1:10" x14ac:dyDescent="0.2">
      <c r="A152" s="570">
        <v>2017</v>
      </c>
      <c r="B152" s="570">
        <v>79</v>
      </c>
      <c r="C152" s="570">
        <v>0</v>
      </c>
      <c r="D152" s="570">
        <v>1</v>
      </c>
      <c r="E152" s="570">
        <v>1</v>
      </c>
      <c r="F152" s="571">
        <v>0.26850659288675816</v>
      </c>
      <c r="G152" s="571">
        <v>0.23140062203895398</v>
      </c>
      <c r="H152" s="572">
        <f>C152*G152</f>
        <v>0</v>
      </c>
      <c r="I152" s="572">
        <f>D152*G152</f>
        <v>0.23140062203895398</v>
      </c>
      <c r="J152" s="572">
        <f>G152*E152</f>
        <v>0.23140062203895398</v>
      </c>
    </row>
    <row r="153" spans="1:10" x14ac:dyDescent="0.2">
      <c r="A153" s="570">
        <v>2019</v>
      </c>
      <c r="B153" s="570">
        <v>79</v>
      </c>
      <c r="C153" s="570">
        <v>0</v>
      </c>
      <c r="D153" s="570">
        <v>1</v>
      </c>
      <c r="E153" s="570">
        <v>1</v>
      </c>
      <c r="F153" s="571">
        <v>0.13413731810411547</v>
      </c>
      <c r="G153" s="571">
        <v>-7.9706287255780439E-2</v>
      </c>
      <c r="H153" s="572">
        <f>C153*G153</f>
        <v>0</v>
      </c>
      <c r="I153" s="572">
        <f>D153*G153</f>
        <v>-7.9706287255780439E-2</v>
      </c>
      <c r="J153" s="572">
        <f>G153*E153</f>
        <v>-7.9706287255780439E-2</v>
      </c>
    </row>
    <row r="154" spans="1:10" x14ac:dyDescent="0.2">
      <c r="A154" s="570">
        <v>2018</v>
      </c>
      <c r="B154" s="570">
        <v>79</v>
      </c>
      <c r="C154" s="570">
        <v>0</v>
      </c>
      <c r="D154" s="570">
        <v>1</v>
      </c>
      <c r="E154" s="570">
        <v>0</v>
      </c>
      <c r="F154" s="571">
        <v>0.48692009629494643</v>
      </c>
      <c r="G154" s="571">
        <v>-0.15157717714269794</v>
      </c>
      <c r="H154" s="572">
        <f>C154*G154</f>
        <v>0</v>
      </c>
      <c r="I154" s="572">
        <f>D154*G154</f>
        <v>-0.15157717714269794</v>
      </c>
      <c r="J154" s="572">
        <f>G154*E154</f>
        <v>0</v>
      </c>
    </row>
    <row r="155" spans="1:10" x14ac:dyDescent="0.2">
      <c r="A155" s="570">
        <v>2018</v>
      </c>
      <c r="B155" s="570">
        <v>80</v>
      </c>
      <c r="C155" s="570">
        <v>1</v>
      </c>
      <c r="D155" s="570">
        <v>1</v>
      </c>
      <c r="E155" s="570">
        <v>1</v>
      </c>
      <c r="F155" s="571">
        <v>0.10869864134882959</v>
      </c>
      <c r="G155" s="571">
        <v>7.2693086083383193E-2</v>
      </c>
      <c r="H155" s="572">
        <f>C155*G155</f>
        <v>7.2693086083383193E-2</v>
      </c>
      <c r="I155" s="572">
        <f>D155*G155</f>
        <v>7.2693086083383193E-2</v>
      </c>
      <c r="J155" s="572">
        <f>G155*E155</f>
        <v>7.2693086083383193E-2</v>
      </c>
    </row>
    <row r="156" spans="1:10" x14ac:dyDescent="0.2">
      <c r="A156" s="570">
        <v>2017</v>
      </c>
      <c r="B156" s="570">
        <v>80</v>
      </c>
      <c r="C156" s="570">
        <v>1</v>
      </c>
      <c r="D156" s="570">
        <v>1</v>
      </c>
      <c r="E156" s="570">
        <v>1</v>
      </c>
      <c r="F156" s="571">
        <v>0.22898876051739295</v>
      </c>
      <c r="G156" s="571">
        <v>2.4660571354726154E-2</v>
      </c>
      <c r="H156" s="572">
        <f>C156*G156</f>
        <v>2.4660571354726154E-2</v>
      </c>
      <c r="I156" s="572">
        <f>D156*G156</f>
        <v>2.4660571354726154E-2</v>
      </c>
      <c r="J156" s="572">
        <f>G156*E156</f>
        <v>2.4660571354726154E-2</v>
      </c>
    </row>
    <row r="157" spans="1:10" x14ac:dyDescent="0.2">
      <c r="A157" s="570">
        <v>2019</v>
      </c>
      <c r="B157" s="570">
        <v>80</v>
      </c>
      <c r="C157" s="570">
        <v>1</v>
      </c>
      <c r="D157" s="570">
        <v>1</v>
      </c>
      <c r="E157" s="570">
        <v>1</v>
      </c>
      <c r="F157" s="571">
        <v>6.0698931314889775E-3</v>
      </c>
      <c r="G157" s="571">
        <v>-7.655755470965632E-2</v>
      </c>
      <c r="H157" s="572">
        <f>C157*G157</f>
        <v>-7.655755470965632E-2</v>
      </c>
      <c r="I157" s="572">
        <f>D157*G157</f>
        <v>-7.655755470965632E-2</v>
      </c>
      <c r="J157" s="572">
        <f>G157*E157</f>
        <v>-7.655755470965632E-2</v>
      </c>
    </row>
    <row r="158" spans="1:10" x14ac:dyDescent="0.2">
      <c r="A158" s="570">
        <v>2018</v>
      </c>
      <c r="B158" s="570">
        <v>81</v>
      </c>
      <c r="C158" s="570">
        <v>0</v>
      </c>
      <c r="D158" s="570">
        <v>1</v>
      </c>
      <c r="E158" s="570">
        <v>1</v>
      </c>
      <c r="F158" s="571">
        <v>0.14900559742361533</v>
      </c>
      <c r="G158" s="571">
        <v>0.23238465613299752</v>
      </c>
      <c r="H158" s="572">
        <f>C158*G158</f>
        <v>0</v>
      </c>
      <c r="I158" s="572">
        <f>D158*G158</f>
        <v>0.23238465613299752</v>
      </c>
      <c r="J158" s="572">
        <f>G158*E158</f>
        <v>0.23238465613299752</v>
      </c>
    </row>
    <row r="159" spans="1:10" x14ac:dyDescent="0.2">
      <c r="A159" s="570">
        <v>2019</v>
      </c>
      <c r="B159" s="570">
        <v>81</v>
      </c>
      <c r="C159" s="570">
        <v>0</v>
      </c>
      <c r="D159" s="570">
        <v>1</v>
      </c>
      <c r="E159" s="570">
        <v>1</v>
      </c>
      <c r="F159" s="571">
        <v>0.68968387089409122</v>
      </c>
      <c r="G159" s="571">
        <v>0.11169688773734911</v>
      </c>
      <c r="H159" s="572">
        <f>C159*G159</f>
        <v>0</v>
      </c>
      <c r="I159" s="572">
        <f>D159*G159</f>
        <v>0.11169688773734911</v>
      </c>
      <c r="J159" s="572">
        <f>G159*E159</f>
        <v>0.11169688773734911</v>
      </c>
    </row>
    <row r="160" spans="1:10" x14ac:dyDescent="0.2">
      <c r="A160" s="570">
        <v>2017</v>
      </c>
      <c r="B160" s="570">
        <v>81</v>
      </c>
      <c r="C160" s="570">
        <v>0</v>
      </c>
      <c r="D160" s="570">
        <v>1</v>
      </c>
      <c r="E160" s="570">
        <v>1</v>
      </c>
      <c r="F160" s="571">
        <v>0</v>
      </c>
      <c r="G160" s="571">
        <v>3.8890093230861421E-2</v>
      </c>
      <c r="H160" s="572">
        <f>C160*G160</f>
        <v>0</v>
      </c>
      <c r="I160" s="572">
        <f>D160*G160</f>
        <v>3.8890093230861421E-2</v>
      </c>
      <c r="J160" s="572">
        <f>G160*E160</f>
        <v>3.8890093230861421E-2</v>
      </c>
    </row>
    <row r="161" spans="1:10" x14ac:dyDescent="0.2">
      <c r="A161" s="570">
        <v>2018</v>
      </c>
      <c r="B161" s="570">
        <v>82</v>
      </c>
      <c r="C161" s="570">
        <v>1</v>
      </c>
      <c r="D161" s="570">
        <v>1</v>
      </c>
      <c r="E161" s="570">
        <v>1</v>
      </c>
      <c r="F161" s="571">
        <v>0.42004760456001577</v>
      </c>
      <c r="G161" s="571">
        <v>0.16039698368011954</v>
      </c>
      <c r="H161" s="572">
        <f>C161*G161</f>
        <v>0.16039698368011954</v>
      </c>
      <c r="I161" s="572">
        <f>D161*G161</f>
        <v>0.16039698368011954</v>
      </c>
      <c r="J161" s="572">
        <f>G161*E161</f>
        <v>0.16039698368011954</v>
      </c>
    </row>
    <row r="162" spans="1:10" x14ac:dyDescent="0.2">
      <c r="A162" s="570">
        <v>2017</v>
      </c>
      <c r="B162" s="570">
        <v>82</v>
      </c>
      <c r="C162" s="570">
        <v>1</v>
      </c>
      <c r="D162" s="570">
        <v>1</v>
      </c>
      <c r="E162" s="570">
        <v>1</v>
      </c>
      <c r="F162" s="571">
        <v>0.45887922950917776</v>
      </c>
      <c r="G162" s="571">
        <v>0.15237991821991584</v>
      </c>
      <c r="H162" s="572">
        <f>C162*G162</f>
        <v>0.15237991821991584</v>
      </c>
      <c r="I162" s="572">
        <f>D162*G162</f>
        <v>0.15237991821991584</v>
      </c>
      <c r="J162" s="572">
        <f>G162*E162</f>
        <v>0.15237991821991584</v>
      </c>
    </row>
    <row r="163" spans="1:10" x14ac:dyDescent="0.2">
      <c r="A163" s="570">
        <v>2019</v>
      </c>
      <c r="B163" s="570">
        <v>82</v>
      </c>
      <c r="C163" s="570">
        <v>1</v>
      </c>
      <c r="D163" s="570">
        <v>1</v>
      </c>
      <c r="E163" s="570">
        <v>1</v>
      </c>
      <c r="F163" s="571">
        <v>0.26780219279951673</v>
      </c>
      <c r="G163" s="571">
        <v>0.14045794216336949</v>
      </c>
      <c r="H163" s="572">
        <f>C163*G163</f>
        <v>0.14045794216336949</v>
      </c>
      <c r="I163" s="572">
        <f>D163*G163</f>
        <v>0.14045794216336949</v>
      </c>
      <c r="J163" s="572">
        <f>G163*E163</f>
        <v>0.14045794216336949</v>
      </c>
    </row>
    <row r="164" spans="1:10" x14ac:dyDescent="0.2">
      <c r="A164" s="570">
        <v>2018</v>
      </c>
      <c r="B164" s="570">
        <v>83</v>
      </c>
      <c r="C164" s="570">
        <v>0</v>
      </c>
      <c r="D164" s="570">
        <v>1</v>
      </c>
      <c r="E164" s="570">
        <v>1</v>
      </c>
      <c r="F164" s="571">
        <v>0.30834139829993951</v>
      </c>
      <c r="G164" s="571">
        <v>0.35734434652233799</v>
      </c>
      <c r="H164" s="572">
        <f>C164*G164</f>
        <v>0</v>
      </c>
      <c r="I164" s="572">
        <f>D164*G164</f>
        <v>0.35734434652233799</v>
      </c>
      <c r="J164" s="572">
        <f>G164*E164</f>
        <v>0.35734434652233799</v>
      </c>
    </row>
    <row r="165" spans="1:10" x14ac:dyDescent="0.2">
      <c r="A165" s="570">
        <v>2017</v>
      </c>
      <c r="B165" s="570">
        <v>83</v>
      </c>
      <c r="C165" s="570">
        <v>0</v>
      </c>
      <c r="D165" s="570">
        <v>1</v>
      </c>
      <c r="E165" s="570">
        <v>1</v>
      </c>
      <c r="F165" s="571">
        <v>0.20028600293658727</v>
      </c>
      <c r="G165" s="571">
        <v>0.1571355592678762</v>
      </c>
      <c r="H165" s="572">
        <f>C165*G165</f>
        <v>0</v>
      </c>
      <c r="I165" s="572">
        <f>D165*G165</f>
        <v>0.1571355592678762</v>
      </c>
      <c r="J165" s="572">
        <f>G165*E165</f>
        <v>0.1571355592678762</v>
      </c>
    </row>
    <row r="166" spans="1:10" x14ac:dyDescent="0.2">
      <c r="A166" s="570">
        <v>2019</v>
      </c>
      <c r="B166" s="570">
        <v>83</v>
      </c>
      <c r="C166" s="570">
        <v>0</v>
      </c>
      <c r="D166" s="570">
        <v>1</v>
      </c>
      <c r="E166" s="570">
        <v>1</v>
      </c>
      <c r="F166" s="571">
        <v>0.34673951085115823</v>
      </c>
      <c r="G166" s="571">
        <v>0.11083082096473729</v>
      </c>
      <c r="H166" s="572">
        <f>C166*G166</f>
        <v>0</v>
      </c>
      <c r="I166" s="572">
        <f>D166*G166</f>
        <v>0.11083082096473729</v>
      </c>
      <c r="J166" s="572">
        <f>G166*E166</f>
        <v>0.11083082096473729</v>
      </c>
    </row>
    <row r="167" spans="1:10" x14ac:dyDescent="0.2">
      <c r="A167" s="570">
        <v>2018</v>
      </c>
      <c r="B167" s="570">
        <v>89</v>
      </c>
      <c r="C167" s="570">
        <v>1</v>
      </c>
      <c r="D167" s="570">
        <v>1</v>
      </c>
      <c r="E167" s="570">
        <v>1</v>
      </c>
      <c r="F167" s="571">
        <v>0.22148085026758926</v>
      </c>
      <c r="G167" s="571">
        <v>0.47149604937915873</v>
      </c>
      <c r="H167" s="572">
        <f>C167*G167</f>
        <v>0.47149604937915873</v>
      </c>
      <c r="I167" s="572">
        <f>D167*G167</f>
        <v>0.47149604937915873</v>
      </c>
      <c r="J167" s="572">
        <f>G167*E167</f>
        <v>0.47149604937915873</v>
      </c>
    </row>
    <row r="168" spans="1:10" x14ac:dyDescent="0.2">
      <c r="A168" s="570">
        <v>2017</v>
      </c>
      <c r="B168" s="570">
        <v>89</v>
      </c>
      <c r="C168" s="570">
        <v>1</v>
      </c>
      <c r="D168" s="570">
        <v>1</v>
      </c>
      <c r="E168" s="570">
        <v>1</v>
      </c>
      <c r="F168" s="571">
        <v>0.22073504075222372</v>
      </c>
      <c r="G168" s="571">
        <v>7.4678728627988758E-2</v>
      </c>
      <c r="H168" s="572">
        <f>C168*G168</f>
        <v>7.4678728627988758E-2</v>
      </c>
      <c r="I168" s="572">
        <f>D168*G168</f>
        <v>7.4678728627988758E-2</v>
      </c>
      <c r="J168" s="572">
        <f>G168*E168</f>
        <v>7.4678728627988758E-2</v>
      </c>
    </row>
    <row r="169" spans="1:10" x14ac:dyDescent="0.2">
      <c r="A169" s="570">
        <v>2019</v>
      </c>
      <c r="B169" s="570">
        <v>89</v>
      </c>
      <c r="C169" s="570">
        <v>1</v>
      </c>
      <c r="D169" s="570">
        <v>1</v>
      </c>
      <c r="E169" s="570">
        <v>1</v>
      </c>
      <c r="F169" s="571">
        <v>0.22671595887518661</v>
      </c>
      <c r="G169" s="571">
        <v>3.8213036194182558E-2</v>
      </c>
      <c r="H169" s="572">
        <f>C169*G169</f>
        <v>3.8213036194182558E-2</v>
      </c>
      <c r="I169" s="572">
        <f>D169*G169</f>
        <v>3.8213036194182558E-2</v>
      </c>
      <c r="J169" s="572">
        <f>G169*E169</f>
        <v>3.8213036194182558E-2</v>
      </c>
    </row>
    <row r="170" spans="1:10" x14ac:dyDescent="0.2">
      <c r="A170" s="570">
        <v>2019</v>
      </c>
      <c r="B170" s="570">
        <v>90</v>
      </c>
      <c r="C170" s="570">
        <v>1</v>
      </c>
      <c r="D170" s="570">
        <v>1</v>
      </c>
      <c r="E170" s="570">
        <v>1</v>
      </c>
      <c r="F170" s="571">
        <v>0.37048223310530576</v>
      </c>
      <c r="G170" s="571">
        <v>0.1221751217942733</v>
      </c>
      <c r="H170" s="572">
        <f>C170*G170</f>
        <v>0.1221751217942733</v>
      </c>
      <c r="I170" s="572">
        <f>D170*G170</f>
        <v>0.1221751217942733</v>
      </c>
      <c r="J170" s="572">
        <f>G170*E170</f>
        <v>0.1221751217942733</v>
      </c>
    </row>
    <row r="171" spans="1:10" x14ac:dyDescent="0.2">
      <c r="A171" s="570">
        <v>2018</v>
      </c>
      <c r="B171" s="570">
        <v>90</v>
      </c>
      <c r="C171" s="570">
        <v>1</v>
      </c>
      <c r="D171" s="570">
        <v>1</v>
      </c>
      <c r="E171" s="570">
        <v>1</v>
      </c>
      <c r="F171" s="571">
        <v>0.48825210867815605</v>
      </c>
      <c r="G171" s="571">
        <v>5.5470922709447153E-2</v>
      </c>
      <c r="H171" s="572">
        <f>C171*G171</f>
        <v>5.5470922709447153E-2</v>
      </c>
      <c r="I171" s="572">
        <f>D171*G171</f>
        <v>5.5470922709447153E-2</v>
      </c>
      <c r="J171" s="572">
        <f>G171*E171</f>
        <v>5.5470922709447153E-2</v>
      </c>
    </row>
    <row r="172" spans="1:10" x14ac:dyDescent="0.2">
      <c r="A172" s="570">
        <v>2017</v>
      </c>
      <c r="B172" s="570">
        <v>90</v>
      </c>
      <c r="C172" s="570">
        <v>1</v>
      </c>
      <c r="D172" s="570">
        <v>1</v>
      </c>
      <c r="E172" s="570">
        <v>1</v>
      </c>
      <c r="F172" s="571">
        <v>0.27927348746714137</v>
      </c>
      <c r="G172" s="571">
        <v>4.7904424721957911E-2</v>
      </c>
      <c r="H172" s="572">
        <f>C172*G172</f>
        <v>4.7904424721957911E-2</v>
      </c>
      <c r="I172" s="572">
        <f>D172*G172</f>
        <v>4.7904424721957911E-2</v>
      </c>
      <c r="J172" s="572">
        <f>G172*E172</f>
        <v>4.7904424721957911E-2</v>
      </c>
    </row>
    <row r="173" spans="1:10" x14ac:dyDescent="0.2">
      <c r="A173" s="570">
        <v>2018</v>
      </c>
      <c r="B173" s="570">
        <v>93</v>
      </c>
      <c r="C173" s="570">
        <v>0</v>
      </c>
      <c r="D173" s="570">
        <v>1</v>
      </c>
      <c r="E173" s="570">
        <v>0</v>
      </c>
      <c r="F173" s="571">
        <v>0.20237261912525595</v>
      </c>
      <c r="G173" s="571">
        <v>0.37001080321368746</v>
      </c>
      <c r="H173" s="572">
        <f>C173*G173</f>
        <v>0</v>
      </c>
      <c r="I173" s="572">
        <f>D173*G173</f>
        <v>0.37001080321368746</v>
      </c>
      <c r="J173" s="572">
        <f>G173*E173</f>
        <v>0</v>
      </c>
    </row>
    <row r="174" spans="1:10" x14ac:dyDescent="0.2">
      <c r="A174" s="570">
        <v>2019</v>
      </c>
      <c r="B174" s="570">
        <v>93</v>
      </c>
      <c r="C174" s="570">
        <v>0</v>
      </c>
      <c r="D174" s="570">
        <v>1</v>
      </c>
      <c r="E174" s="570">
        <v>0</v>
      </c>
      <c r="F174" s="571">
        <v>0.29219788901464366</v>
      </c>
      <c r="G174" s="571">
        <v>1.9008475359505356E-2</v>
      </c>
      <c r="H174" s="572">
        <f>C174*G174</f>
        <v>0</v>
      </c>
      <c r="I174" s="572">
        <f>D174*G174</f>
        <v>1.9008475359505356E-2</v>
      </c>
      <c r="J174" s="572">
        <f>G174*E174</f>
        <v>0</v>
      </c>
    </row>
    <row r="175" spans="1:10" x14ac:dyDescent="0.2">
      <c r="A175" s="570">
        <v>2017</v>
      </c>
      <c r="B175" s="570">
        <v>93</v>
      </c>
      <c r="C175" s="570">
        <v>0</v>
      </c>
      <c r="D175" s="570">
        <v>1</v>
      </c>
      <c r="E175" s="570">
        <v>0</v>
      </c>
      <c r="F175" s="571">
        <v>0.43412219498618765</v>
      </c>
      <c r="G175" s="571">
        <v>-9.1783050832969643E-3</v>
      </c>
      <c r="H175" s="572">
        <f>C175*G175</f>
        <v>0</v>
      </c>
      <c r="I175" s="572">
        <f>D175*G175</f>
        <v>-9.1783050832969643E-3</v>
      </c>
      <c r="J175" s="572">
        <f>G175*E175</f>
        <v>0</v>
      </c>
    </row>
    <row r="176" spans="1:10" x14ac:dyDescent="0.2">
      <c r="A176" s="570">
        <v>2018</v>
      </c>
      <c r="B176" s="570">
        <v>94</v>
      </c>
      <c r="C176" s="570">
        <v>0</v>
      </c>
      <c r="D176" s="570">
        <v>1</v>
      </c>
      <c r="E176" s="570">
        <v>1</v>
      </c>
      <c r="F176" s="571">
        <v>0.30377339927468455</v>
      </c>
      <c r="G176" s="571">
        <v>0.15573174629603467</v>
      </c>
      <c r="H176" s="572">
        <f>C176*G176</f>
        <v>0</v>
      </c>
      <c r="I176" s="572">
        <f>D176*G176</f>
        <v>0.15573174629603467</v>
      </c>
      <c r="J176" s="572">
        <f>G176*E176</f>
        <v>0.15573174629603467</v>
      </c>
    </row>
    <row r="177" spans="1:10" x14ac:dyDescent="0.2">
      <c r="A177" s="570">
        <v>2017</v>
      </c>
      <c r="B177" s="570">
        <v>94</v>
      </c>
      <c r="C177" s="570">
        <v>0</v>
      </c>
      <c r="D177" s="570">
        <v>1</v>
      </c>
      <c r="E177" s="570">
        <v>1</v>
      </c>
      <c r="F177" s="571">
        <v>0.26909250684108921</v>
      </c>
      <c r="G177" s="571">
        <v>0.13453511952011987</v>
      </c>
      <c r="H177" s="572">
        <f>C177*G177</f>
        <v>0</v>
      </c>
      <c r="I177" s="572">
        <f>D177*G177</f>
        <v>0.13453511952011987</v>
      </c>
      <c r="J177" s="572">
        <f>G177*E177</f>
        <v>0.13453511952011987</v>
      </c>
    </row>
    <row r="178" spans="1:10" x14ac:dyDescent="0.2">
      <c r="A178" s="570">
        <v>2019</v>
      </c>
      <c r="B178" s="570">
        <v>94</v>
      </c>
      <c r="C178" s="570">
        <v>0</v>
      </c>
      <c r="D178" s="570">
        <v>1</v>
      </c>
      <c r="E178" s="570">
        <v>1</v>
      </c>
      <c r="F178" s="571">
        <v>0.20235748937796694</v>
      </c>
      <c r="G178" s="571">
        <v>4.014567182487741E-2</v>
      </c>
      <c r="H178" s="572">
        <f>C178*G178</f>
        <v>0</v>
      </c>
      <c r="I178" s="572">
        <f>D178*G178</f>
        <v>4.014567182487741E-2</v>
      </c>
      <c r="J178" s="572">
        <f>G178*E178</f>
        <v>4.014567182487741E-2</v>
      </c>
    </row>
    <row r="179" spans="1:10" x14ac:dyDescent="0.2">
      <c r="A179" s="570">
        <v>2018</v>
      </c>
      <c r="B179" s="570">
        <v>95</v>
      </c>
      <c r="C179" s="570">
        <v>1</v>
      </c>
      <c r="D179" s="570">
        <v>1</v>
      </c>
      <c r="E179" s="570">
        <v>1</v>
      </c>
      <c r="F179" s="571">
        <v>0.17133171128042171</v>
      </c>
      <c r="G179" s="571">
        <v>0.18924548715567033</v>
      </c>
      <c r="H179" s="572">
        <f>C179*G179</f>
        <v>0.18924548715567033</v>
      </c>
      <c r="I179" s="572">
        <f>D179*G179</f>
        <v>0.18924548715567033</v>
      </c>
      <c r="J179" s="572">
        <f>G179*E179</f>
        <v>0.18924548715567033</v>
      </c>
    </row>
    <row r="180" spans="1:10" x14ac:dyDescent="0.2">
      <c r="A180" s="570">
        <v>2017</v>
      </c>
      <c r="B180" s="570">
        <v>95</v>
      </c>
      <c r="C180" s="570">
        <v>1</v>
      </c>
      <c r="D180" s="570">
        <v>1</v>
      </c>
      <c r="E180" s="570">
        <v>1</v>
      </c>
      <c r="F180" s="571">
        <v>0.38242635120732393</v>
      </c>
      <c r="G180" s="571">
        <v>0.10410795268672993</v>
      </c>
      <c r="H180" s="572">
        <f>C180*G180</f>
        <v>0.10410795268672993</v>
      </c>
      <c r="I180" s="572">
        <f>D180*G180</f>
        <v>0.10410795268672993</v>
      </c>
      <c r="J180" s="572">
        <f>G180*E180</f>
        <v>0.10410795268672993</v>
      </c>
    </row>
    <row r="181" spans="1:10" x14ac:dyDescent="0.2">
      <c r="A181" s="570">
        <v>2019</v>
      </c>
      <c r="B181" s="570">
        <v>95</v>
      </c>
      <c r="C181" s="570">
        <v>1</v>
      </c>
      <c r="D181" s="570">
        <v>1</v>
      </c>
      <c r="E181" s="570">
        <v>1</v>
      </c>
      <c r="F181" s="571">
        <v>0.12145750266996741</v>
      </c>
      <c r="G181" s="571">
        <v>5.0363619091298391E-2</v>
      </c>
      <c r="H181" s="572">
        <f>C181*G181</f>
        <v>5.0363619091298391E-2</v>
      </c>
      <c r="I181" s="572">
        <f>D181*G181</f>
        <v>5.0363619091298391E-2</v>
      </c>
      <c r="J181" s="572">
        <f>G181*E181</f>
        <v>5.0363619091298391E-2</v>
      </c>
    </row>
    <row r="182" spans="1:10" x14ac:dyDescent="0.2">
      <c r="A182" s="570">
        <v>2019</v>
      </c>
      <c r="B182" s="570">
        <v>96</v>
      </c>
      <c r="C182" s="570">
        <v>0</v>
      </c>
      <c r="D182" s="570">
        <v>1</v>
      </c>
      <c r="E182" s="570">
        <v>1</v>
      </c>
      <c r="F182" s="571">
        <v>0.51351124190823294</v>
      </c>
      <c r="G182" s="571">
        <v>0.69439496486599106</v>
      </c>
      <c r="H182" s="572">
        <f>C182*G182</f>
        <v>0</v>
      </c>
      <c r="I182" s="572">
        <f>D182*G182</f>
        <v>0.69439496486599106</v>
      </c>
      <c r="J182" s="572">
        <f>G182*E182</f>
        <v>0.69439496486599106</v>
      </c>
    </row>
    <row r="183" spans="1:10" x14ac:dyDescent="0.2">
      <c r="A183" s="570">
        <v>2018</v>
      </c>
      <c r="B183" s="570">
        <v>96</v>
      </c>
      <c r="C183" s="570">
        <v>0</v>
      </c>
      <c r="D183" s="570">
        <v>1</v>
      </c>
      <c r="E183" s="570">
        <v>1</v>
      </c>
      <c r="F183" s="571">
        <v>0.14029545823813613</v>
      </c>
      <c r="G183" s="571">
        <v>-0.43070939559462451</v>
      </c>
      <c r="H183" s="572">
        <f>C183*G183</f>
        <v>0</v>
      </c>
      <c r="I183" s="572">
        <f>D183*G183</f>
        <v>-0.43070939559462451</v>
      </c>
      <c r="J183" s="572">
        <f>G183*E183</f>
        <v>-0.43070939559462451</v>
      </c>
    </row>
    <row r="184" spans="1:10" x14ac:dyDescent="0.2">
      <c r="A184" s="570">
        <v>2017</v>
      </c>
      <c r="B184" s="570">
        <v>96</v>
      </c>
      <c r="C184" s="570">
        <v>0</v>
      </c>
      <c r="D184" s="570">
        <v>0</v>
      </c>
      <c r="E184" s="570">
        <v>1</v>
      </c>
      <c r="F184" s="571">
        <v>0.11934682557452457</v>
      </c>
      <c r="G184" s="571">
        <v>-0.50370394530594664</v>
      </c>
      <c r="H184" s="572">
        <f>C184*G184</f>
        <v>0</v>
      </c>
      <c r="I184" s="572">
        <f>D184*G184</f>
        <v>0</v>
      </c>
      <c r="J184" s="572">
        <f>G184*E184</f>
        <v>-0.50370394530594664</v>
      </c>
    </row>
    <row r="185" spans="1:10" x14ac:dyDescent="0.2">
      <c r="A185" s="570">
        <v>2018</v>
      </c>
      <c r="B185" s="570">
        <v>97</v>
      </c>
      <c r="C185" s="570">
        <v>1</v>
      </c>
      <c r="D185" s="570">
        <v>1</v>
      </c>
      <c r="E185" s="570">
        <v>0</v>
      </c>
      <c r="F185" s="571">
        <v>0.21346151875088418</v>
      </c>
      <c r="G185" s="571">
        <v>0.3927215652972777</v>
      </c>
      <c r="H185" s="572">
        <f>C185*G185</f>
        <v>0.3927215652972777</v>
      </c>
      <c r="I185" s="572">
        <f>D185*G185</f>
        <v>0.3927215652972777</v>
      </c>
      <c r="J185" s="572">
        <f>G185*E185</f>
        <v>0</v>
      </c>
    </row>
    <row r="186" spans="1:10" x14ac:dyDescent="0.2">
      <c r="A186" s="570">
        <v>2017</v>
      </c>
      <c r="B186" s="570">
        <v>97</v>
      </c>
      <c r="C186" s="570">
        <v>1</v>
      </c>
      <c r="D186" s="570">
        <v>1</v>
      </c>
      <c r="E186" s="570">
        <v>1</v>
      </c>
      <c r="F186" s="571">
        <v>0.51572366051199225</v>
      </c>
      <c r="G186" s="571">
        <v>1.3430688892145479E-2</v>
      </c>
      <c r="H186" s="572">
        <f>C186*G186</f>
        <v>1.3430688892145479E-2</v>
      </c>
      <c r="I186" s="572">
        <f>D186*G186</f>
        <v>1.3430688892145479E-2</v>
      </c>
      <c r="J186" s="572">
        <f>G186*E186</f>
        <v>1.3430688892145479E-2</v>
      </c>
    </row>
    <row r="187" spans="1:10" x14ac:dyDescent="0.2">
      <c r="A187" s="570">
        <v>2019</v>
      </c>
      <c r="B187" s="570">
        <v>97</v>
      </c>
      <c r="C187" s="570">
        <v>1</v>
      </c>
      <c r="D187" s="570">
        <v>1</v>
      </c>
      <c r="E187" s="570">
        <v>0</v>
      </c>
      <c r="F187" s="571">
        <v>0.35250921364611937</v>
      </c>
      <c r="G187" s="571">
        <v>-3.9790029606677366E-2</v>
      </c>
      <c r="H187" s="572">
        <f>C187*G187</f>
        <v>-3.9790029606677366E-2</v>
      </c>
      <c r="I187" s="572">
        <f>D187*G187</f>
        <v>-3.9790029606677366E-2</v>
      </c>
      <c r="J187" s="572">
        <f>G187*E187</f>
        <v>0</v>
      </c>
    </row>
    <row r="188" spans="1:10" x14ac:dyDescent="0.2">
      <c r="A188" s="570">
        <v>2017</v>
      </c>
      <c r="B188" s="570">
        <v>98</v>
      </c>
      <c r="C188" s="570">
        <v>1</v>
      </c>
      <c r="D188" s="570">
        <v>1</v>
      </c>
      <c r="E188" s="570">
        <v>0</v>
      </c>
      <c r="F188" s="571">
        <v>0.18369717332863075</v>
      </c>
      <c r="G188" s="571">
        <v>0.38496418168488516</v>
      </c>
      <c r="H188" s="572">
        <f>C188*G188</f>
        <v>0.38496418168488516</v>
      </c>
      <c r="I188" s="572">
        <f>D188*G188</f>
        <v>0.38496418168488516</v>
      </c>
      <c r="J188" s="572">
        <f>G188*E188</f>
        <v>0</v>
      </c>
    </row>
    <row r="189" spans="1:10" x14ac:dyDescent="0.2">
      <c r="A189" s="570">
        <v>2018</v>
      </c>
      <c r="B189" s="570">
        <v>98</v>
      </c>
      <c r="C189" s="570">
        <v>1</v>
      </c>
      <c r="D189" s="570">
        <v>1</v>
      </c>
      <c r="E189" s="570">
        <v>1</v>
      </c>
      <c r="F189" s="571">
        <v>0.33598708408932065</v>
      </c>
      <c r="G189" s="571">
        <v>8.7101863640495644E-2</v>
      </c>
      <c r="H189" s="572">
        <f>C189*G189</f>
        <v>8.7101863640495644E-2</v>
      </c>
      <c r="I189" s="572">
        <f>D189*G189</f>
        <v>8.7101863640495644E-2</v>
      </c>
      <c r="J189" s="572">
        <f>G189*E189</f>
        <v>8.7101863640495644E-2</v>
      </c>
    </row>
    <row r="190" spans="1:10" x14ac:dyDescent="0.2">
      <c r="A190" s="570">
        <v>2019</v>
      </c>
      <c r="B190" s="570">
        <v>98</v>
      </c>
      <c r="C190" s="570">
        <v>1</v>
      </c>
      <c r="D190" s="570">
        <v>1</v>
      </c>
      <c r="E190" s="570">
        <v>0</v>
      </c>
      <c r="F190" s="571">
        <v>0.28093812796026957</v>
      </c>
      <c r="G190" s="571">
        <v>2.9317862957671879E-2</v>
      </c>
      <c r="H190" s="572">
        <f>C190*G190</f>
        <v>2.9317862957671879E-2</v>
      </c>
      <c r="I190" s="572">
        <f>D190*G190</f>
        <v>2.9317862957671879E-2</v>
      </c>
      <c r="J190" s="572">
        <f>G190*E190</f>
        <v>0</v>
      </c>
    </row>
    <row r="191" spans="1:10" x14ac:dyDescent="0.2">
      <c r="A191" s="570">
        <v>2018</v>
      </c>
      <c r="B191" s="570">
        <v>100</v>
      </c>
      <c r="C191" s="570">
        <v>0</v>
      </c>
      <c r="D191" s="570">
        <v>1</v>
      </c>
      <c r="E191" s="570">
        <v>1</v>
      </c>
      <c r="F191" s="571">
        <v>9.4177288528389344E-2</v>
      </c>
      <c r="G191" s="571">
        <v>0.91519394297885481</v>
      </c>
      <c r="H191" s="572">
        <f>C191*G191</f>
        <v>0</v>
      </c>
      <c r="I191" s="572">
        <f>D191*G191</f>
        <v>0.91519394297885481</v>
      </c>
      <c r="J191" s="572">
        <f>G191*E191</f>
        <v>0.91519394297885481</v>
      </c>
    </row>
    <row r="192" spans="1:10" x14ac:dyDescent="0.2">
      <c r="A192" s="570">
        <v>2017</v>
      </c>
      <c r="B192" s="570">
        <v>100</v>
      </c>
      <c r="C192" s="570">
        <v>0</v>
      </c>
      <c r="D192" s="570">
        <v>1</v>
      </c>
      <c r="E192" s="570">
        <v>0</v>
      </c>
      <c r="F192" s="571">
        <v>0.18010005558643691</v>
      </c>
      <c r="G192" s="571">
        <v>0.24311413721530697</v>
      </c>
      <c r="H192" s="572">
        <f>C192*G192</f>
        <v>0</v>
      </c>
      <c r="I192" s="572">
        <f>D192*G192</f>
        <v>0.24311413721530697</v>
      </c>
      <c r="J192" s="572">
        <f>G192*E192</f>
        <v>0</v>
      </c>
    </row>
    <row r="193" spans="1:10" x14ac:dyDescent="0.2">
      <c r="A193" s="570">
        <v>2019</v>
      </c>
      <c r="B193" s="570">
        <v>100</v>
      </c>
      <c r="C193" s="570">
        <v>0</v>
      </c>
      <c r="D193" s="570">
        <v>1</v>
      </c>
      <c r="E193" s="570">
        <v>1</v>
      </c>
      <c r="F193" s="571">
        <v>0.31889307804144795</v>
      </c>
      <c r="G193" s="571">
        <v>-1.2232399053553255E-2</v>
      </c>
      <c r="H193" s="572">
        <f>C193*G193</f>
        <v>0</v>
      </c>
      <c r="I193" s="572">
        <f>D193*G193</f>
        <v>-1.2232399053553255E-2</v>
      </c>
      <c r="J193" s="572">
        <f>G193*E193</f>
        <v>-1.2232399053553255E-2</v>
      </c>
    </row>
    <row r="194" spans="1:10" x14ac:dyDescent="0.2">
      <c r="A194" s="570">
        <v>2018</v>
      </c>
      <c r="B194" s="570">
        <v>102</v>
      </c>
      <c r="C194" s="570">
        <v>0</v>
      </c>
      <c r="D194" s="570">
        <v>1</v>
      </c>
      <c r="E194" s="570">
        <v>1</v>
      </c>
      <c r="F194" s="571">
        <v>8.7466412691981719E-3</v>
      </c>
      <c r="G194" s="571">
        <v>0.23841221630211168</v>
      </c>
      <c r="H194" s="572">
        <f>C194*G194</f>
        <v>0</v>
      </c>
      <c r="I194" s="572">
        <f>D194*G194</f>
        <v>0.23841221630211168</v>
      </c>
      <c r="J194" s="572">
        <f>G194*E194</f>
        <v>0.23841221630211168</v>
      </c>
    </row>
    <row r="195" spans="1:10" x14ac:dyDescent="0.2">
      <c r="A195" s="570">
        <v>2017</v>
      </c>
      <c r="B195" s="570">
        <v>102</v>
      </c>
      <c r="C195" s="570">
        <v>0</v>
      </c>
      <c r="D195" s="570">
        <v>1</v>
      </c>
      <c r="E195" s="570">
        <v>1</v>
      </c>
      <c r="F195" s="571">
        <v>1.5971247491140417E-2</v>
      </c>
      <c r="G195" s="571">
        <v>0.18103982455543666</v>
      </c>
      <c r="H195" s="572">
        <f>C195*G195</f>
        <v>0</v>
      </c>
      <c r="I195" s="572">
        <f>D195*G195</f>
        <v>0.18103982455543666</v>
      </c>
      <c r="J195" s="572">
        <f>G195*E195</f>
        <v>0.18103982455543666</v>
      </c>
    </row>
    <row r="196" spans="1:10" x14ac:dyDescent="0.2">
      <c r="A196" s="570">
        <v>2019</v>
      </c>
      <c r="B196" s="570">
        <v>102</v>
      </c>
      <c r="C196" s="570">
        <v>0</v>
      </c>
      <c r="D196" s="570">
        <v>1</v>
      </c>
      <c r="E196" s="570">
        <v>1</v>
      </c>
      <c r="F196" s="571">
        <v>8.0283883730049212E-3</v>
      </c>
      <c r="G196" s="571">
        <v>1.7135784561954175E-2</v>
      </c>
      <c r="H196" s="572">
        <f>C196*G196</f>
        <v>0</v>
      </c>
      <c r="I196" s="572">
        <f>D196*G196</f>
        <v>1.7135784561954175E-2</v>
      </c>
      <c r="J196" s="572">
        <f>G196*E196</f>
        <v>1.7135784561954175E-2</v>
      </c>
    </row>
    <row r="197" spans="1:10" x14ac:dyDescent="0.2">
      <c r="A197" s="570">
        <v>2018</v>
      </c>
      <c r="B197" s="570">
        <v>103</v>
      </c>
      <c r="C197" s="570">
        <v>0</v>
      </c>
      <c r="D197" s="570">
        <v>1</v>
      </c>
      <c r="E197" s="570">
        <v>1</v>
      </c>
      <c r="F197" s="571">
        <v>0.42182167603906889</v>
      </c>
      <c r="G197" s="571">
        <v>0.3170619950591545</v>
      </c>
      <c r="H197" s="572">
        <f>C197*G197</f>
        <v>0</v>
      </c>
      <c r="I197" s="572">
        <f>D197*G197</f>
        <v>0.3170619950591545</v>
      </c>
      <c r="J197" s="572">
        <f>G197*E197</f>
        <v>0.3170619950591545</v>
      </c>
    </row>
    <row r="198" spans="1:10" x14ac:dyDescent="0.2">
      <c r="A198" s="570">
        <v>2017</v>
      </c>
      <c r="B198" s="570">
        <v>103</v>
      </c>
      <c r="C198" s="570">
        <v>0</v>
      </c>
      <c r="D198" s="570">
        <v>1</v>
      </c>
      <c r="E198" s="570">
        <v>1</v>
      </c>
      <c r="F198" s="571">
        <v>0.43980703773864521</v>
      </c>
      <c r="G198" s="571">
        <v>0.31019823781406464</v>
      </c>
      <c r="H198" s="572">
        <f>C198*G198</f>
        <v>0</v>
      </c>
      <c r="I198" s="572">
        <f>D198*G198</f>
        <v>0.31019823781406464</v>
      </c>
      <c r="J198" s="572">
        <f>G198*E198</f>
        <v>0.31019823781406464</v>
      </c>
    </row>
    <row r="199" spans="1:10" x14ac:dyDescent="0.2">
      <c r="A199" s="570">
        <v>2019</v>
      </c>
      <c r="B199" s="570">
        <v>103</v>
      </c>
      <c r="C199" s="570">
        <v>0</v>
      </c>
      <c r="D199" s="570">
        <v>1</v>
      </c>
      <c r="E199" s="570">
        <v>1</v>
      </c>
      <c r="F199" s="571">
        <v>0.55881047717498544</v>
      </c>
      <c r="G199" s="571">
        <v>2.0615900232313782E-2</v>
      </c>
      <c r="H199" s="572">
        <f>C199*G199</f>
        <v>0</v>
      </c>
      <c r="I199" s="572">
        <f>D199*G199</f>
        <v>2.0615900232313782E-2</v>
      </c>
      <c r="J199" s="572">
        <f>G199*E199</f>
        <v>2.0615900232313782E-2</v>
      </c>
    </row>
    <row r="200" spans="1:10" x14ac:dyDescent="0.2">
      <c r="A200" s="570">
        <v>2019</v>
      </c>
      <c r="B200" s="570">
        <v>105</v>
      </c>
      <c r="C200" s="570">
        <v>1</v>
      </c>
      <c r="D200" s="570">
        <v>0</v>
      </c>
      <c r="E200" s="570">
        <v>1</v>
      </c>
      <c r="F200" s="571">
        <v>0.15897770124815369</v>
      </c>
      <c r="G200" s="571">
        <v>0.20620530995344633</v>
      </c>
      <c r="H200" s="572">
        <f>C200*G200</f>
        <v>0.20620530995344633</v>
      </c>
      <c r="I200" s="572">
        <f>D200*G200</f>
        <v>0</v>
      </c>
      <c r="J200" s="572">
        <f>G200*E200</f>
        <v>0.20620530995344633</v>
      </c>
    </row>
    <row r="201" spans="1:10" x14ac:dyDescent="0.2">
      <c r="A201" s="570">
        <v>2018</v>
      </c>
      <c r="B201" s="570">
        <v>105</v>
      </c>
      <c r="C201" s="570">
        <v>1</v>
      </c>
      <c r="D201" s="570">
        <v>0</v>
      </c>
      <c r="E201" s="570">
        <v>1</v>
      </c>
      <c r="F201" s="571">
        <v>0.10870086289135926</v>
      </c>
      <c r="G201" s="571">
        <v>0.11057190288214408</v>
      </c>
      <c r="H201" s="572">
        <f>C201*G201</f>
        <v>0.11057190288214408</v>
      </c>
      <c r="I201" s="572">
        <f>D201*G201</f>
        <v>0</v>
      </c>
      <c r="J201" s="572">
        <f>G201*E201</f>
        <v>0.11057190288214408</v>
      </c>
    </row>
    <row r="202" spans="1:10" x14ac:dyDescent="0.2">
      <c r="A202" s="570">
        <v>2017</v>
      </c>
      <c r="B202" s="570">
        <v>105</v>
      </c>
      <c r="C202" s="570">
        <v>1</v>
      </c>
      <c r="D202" s="570">
        <v>0</v>
      </c>
      <c r="E202" s="570">
        <v>1</v>
      </c>
      <c r="F202" s="571">
        <v>0.26378317369398863</v>
      </c>
      <c r="G202" s="571">
        <v>-1.22211556355151E-2</v>
      </c>
      <c r="H202" s="572">
        <f>C202*G202</f>
        <v>-1.22211556355151E-2</v>
      </c>
      <c r="I202" s="572">
        <f>D202*G202</f>
        <v>0</v>
      </c>
      <c r="J202" s="572">
        <f>G202*E202</f>
        <v>-1.22211556355151E-2</v>
      </c>
    </row>
    <row r="203" spans="1:10" x14ac:dyDescent="0.2">
      <c r="A203" s="570">
        <v>2018</v>
      </c>
      <c r="B203" s="570">
        <v>106</v>
      </c>
      <c r="C203" s="570">
        <v>1</v>
      </c>
      <c r="D203" s="570">
        <v>1</v>
      </c>
      <c r="E203" s="570">
        <v>1</v>
      </c>
      <c r="F203" s="571">
        <v>0.27146172253693546</v>
      </c>
      <c r="G203" s="571">
        <v>0.1847719670417021</v>
      </c>
      <c r="H203" s="572">
        <f>C203*G203</f>
        <v>0.1847719670417021</v>
      </c>
      <c r="I203" s="572">
        <f>D203*G203</f>
        <v>0.1847719670417021</v>
      </c>
      <c r="J203" s="572">
        <f>G203*E203</f>
        <v>0.1847719670417021</v>
      </c>
    </row>
    <row r="204" spans="1:10" x14ac:dyDescent="0.2">
      <c r="A204" s="570">
        <v>2019</v>
      </c>
      <c r="B204" s="570">
        <v>106</v>
      </c>
      <c r="C204" s="570">
        <v>1</v>
      </c>
      <c r="D204" s="570">
        <v>1</v>
      </c>
      <c r="E204" s="570">
        <v>1</v>
      </c>
      <c r="F204" s="571">
        <v>0.35130074173067272</v>
      </c>
      <c r="G204" s="571">
        <v>4.6726766961929296E-2</v>
      </c>
      <c r="H204" s="572">
        <f>C204*G204</f>
        <v>4.6726766961929296E-2</v>
      </c>
      <c r="I204" s="572">
        <f>D204*G204</f>
        <v>4.6726766961929296E-2</v>
      </c>
      <c r="J204" s="572">
        <f>G204*E204</f>
        <v>4.6726766961929296E-2</v>
      </c>
    </row>
    <row r="205" spans="1:10" x14ac:dyDescent="0.2">
      <c r="A205" s="570">
        <v>2017</v>
      </c>
      <c r="B205" s="570">
        <v>106</v>
      </c>
      <c r="C205" s="570">
        <v>1</v>
      </c>
      <c r="D205" s="570">
        <v>1</v>
      </c>
      <c r="E205" s="570">
        <v>1</v>
      </c>
      <c r="F205" s="571">
        <v>0.26643398252262979</v>
      </c>
      <c r="G205" s="571">
        <v>-1.5536048584211341E-2</v>
      </c>
      <c r="H205" s="572">
        <f>C205*G205</f>
        <v>-1.5536048584211341E-2</v>
      </c>
      <c r="I205" s="572">
        <f>D205*G205</f>
        <v>-1.5536048584211341E-2</v>
      </c>
      <c r="J205" s="572">
        <f>G205*E205</f>
        <v>-1.5536048584211341E-2</v>
      </c>
    </row>
    <row r="206" spans="1:10" x14ac:dyDescent="0.2">
      <c r="A206" s="570">
        <v>2019</v>
      </c>
      <c r="B206" s="570">
        <v>108</v>
      </c>
      <c r="C206" s="570">
        <v>1</v>
      </c>
      <c r="D206" s="570">
        <v>1</v>
      </c>
      <c r="E206" s="570">
        <v>1</v>
      </c>
      <c r="F206" s="571">
        <v>0.19298010654692524</v>
      </c>
      <c r="G206" s="571">
        <v>0.31545226079071742</v>
      </c>
      <c r="H206" s="572">
        <f>C206*G206</f>
        <v>0.31545226079071742</v>
      </c>
      <c r="I206" s="572">
        <f>D206*G206</f>
        <v>0.31545226079071742</v>
      </c>
      <c r="J206" s="572">
        <f>G206*E206</f>
        <v>0.31545226079071742</v>
      </c>
    </row>
    <row r="207" spans="1:10" x14ac:dyDescent="0.2">
      <c r="A207" s="570">
        <v>2018</v>
      </c>
      <c r="B207" s="570">
        <v>108</v>
      </c>
      <c r="C207" s="570">
        <v>1</v>
      </c>
      <c r="D207" s="570">
        <v>1</v>
      </c>
      <c r="E207" s="570">
        <v>1</v>
      </c>
      <c r="F207" s="571">
        <v>0.13225637576404539</v>
      </c>
      <c r="G207" s="571">
        <v>0.10332913368817832</v>
      </c>
      <c r="H207" s="572">
        <f>C207*G207</f>
        <v>0.10332913368817832</v>
      </c>
      <c r="I207" s="572">
        <f>D207*G207</f>
        <v>0.10332913368817832</v>
      </c>
      <c r="J207" s="572">
        <f>G207*E207</f>
        <v>0.10332913368817832</v>
      </c>
    </row>
    <row r="208" spans="1:10" x14ac:dyDescent="0.2">
      <c r="A208" s="570">
        <v>2017</v>
      </c>
      <c r="B208" s="570">
        <v>108</v>
      </c>
      <c r="C208" s="570">
        <v>1</v>
      </c>
      <c r="D208" s="570">
        <v>1</v>
      </c>
      <c r="E208" s="570">
        <v>1</v>
      </c>
      <c r="F208" s="571">
        <v>0.41781349350555275</v>
      </c>
      <c r="G208" s="571">
        <v>6.4258757402331307E-2</v>
      </c>
      <c r="H208" s="572">
        <f>C208*G208</f>
        <v>6.4258757402331307E-2</v>
      </c>
      <c r="I208" s="572">
        <f>D208*G208</f>
        <v>6.4258757402331307E-2</v>
      </c>
      <c r="J208" s="572">
        <f>G208*E208</f>
        <v>6.4258757402331307E-2</v>
      </c>
    </row>
    <row r="209" spans="1:10" x14ac:dyDescent="0.2">
      <c r="A209" s="570">
        <v>2019</v>
      </c>
      <c r="B209" s="570">
        <v>110</v>
      </c>
      <c r="C209" s="570">
        <v>0</v>
      </c>
      <c r="D209" s="570">
        <v>0</v>
      </c>
      <c r="E209" s="570">
        <v>1</v>
      </c>
      <c r="F209" s="571">
        <v>0.20731397281705291</v>
      </c>
      <c r="G209" s="571">
        <v>0.1100650962692325</v>
      </c>
      <c r="H209" s="572">
        <f>C209*G209</f>
        <v>0</v>
      </c>
      <c r="I209" s="572">
        <f>D209*G209</f>
        <v>0</v>
      </c>
      <c r="J209" s="572">
        <f>G209*E209</f>
        <v>0.1100650962692325</v>
      </c>
    </row>
    <row r="210" spans="1:10" x14ac:dyDescent="0.2">
      <c r="A210" s="570">
        <v>2018</v>
      </c>
      <c r="B210" s="570">
        <v>110</v>
      </c>
      <c r="C210" s="570">
        <v>0</v>
      </c>
      <c r="D210" s="570">
        <v>0</v>
      </c>
      <c r="E210" s="570">
        <v>1</v>
      </c>
      <c r="F210" s="571">
        <v>0.21863322259825291</v>
      </c>
      <c r="G210" s="571">
        <v>7.3606751002393306E-2</v>
      </c>
      <c r="H210" s="572">
        <f>C210*G210</f>
        <v>0</v>
      </c>
      <c r="I210" s="572">
        <f>D210*G210</f>
        <v>0</v>
      </c>
      <c r="J210" s="572">
        <f>G210*E210</f>
        <v>7.3606751002393306E-2</v>
      </c>
    </row>
    <row r="211" spans="1:10" x14ac:dyDescent="0.2">
      <c r="A211" s="570">
        <v>2017</v>
      </c>
      <c r="B211" s="570">
        <v>110</v>
      </c>
      <c r="C211" s="570">
        <v>0</v>
      </c>
      <c r="D211" s="570">
        <v>0</v>
      </c>
      <c r="E211" s="570">
        <v>1</v>
      </c>
      <c r="F211" s="571">
        <v>0.21606155840613356</v>
      </c>
      <c r="G211" s="571">
        <v>4.697467333592005E-3</v>
      </c>
      <c r="H211" s="572">
        <f>C211*G211</f>
        <v>0</v>
      </c>
      <c r="I211" s="572">
        <f>D211*G211</f>
        <v>0</v>
      </c>
      <c r="J211" s="572">
        <f>G211*E211</f>
        <v>4.697467333592005E-3</v>
      </c>
    </row>
    <row r="212" spans="1:10" x14ac:dyDescent="0.2">
      <c r="A212" s="570">
        <v>2018</v>
      </c>
      <c r="B212" s="570">
        <v>113</v>
      </c>
      <c r="C212" s="570">
        <v>0</v>
      </c>
      <c r="D212" s="570">
        <v>1</v>
      </c>
      <c r="E212" s="570">
        <v>1</v>
      </c>
      <c r="F212" s="571">
        <v>0.70980761469124176</v>
      </c>
      <c r="G212" s="571">
        <v>0.10611770047707768</v>
      </c>
      <c r="H212" s="572">
        <f>C212*G212</f>
        <v>0</v>
      </c>
      <c r="I212" s="572">
        <f>D212*G212</f>
        <v>0.10611770047707768</v>
      </c>
      <c r="J212" s="572">
        <f>G212*E212</f>
        <v>0.10611770047707768</v>
      </c>
    </row>
    <row r="213" spans="1:10" x14ac:dyDescent="0.2">
      <c r="A213" s="570">
        <v>2019</v>
      </c>
      <c r="B213" s="570">
        <v>113</v>
      </c>
      <c r="C213" s="570">
        <v>0</v>
      </c>
      <c r="D213" s="570">
        <v>1</v>
      </c>
      <c r="E213" s="570">
        <v>1</v>
      </c>
      <c r="F213" s="571">
        <v>0.2485914334436754</v>
      </c>
      <c r="G213" s="571">
        <v>6.5535918311222047E-2</v>
      </c>
      <c r="H213" s="572">
        <f>C213*G213</f>
        <v>0</v>
      </c>
      <c r="I213" s="572">
        <f>D213*G213</f>
        <v>6.5535918311222047E-2</v>
      </c>
      <c r="J213" s="572">
        <f>G213*E213</f>
        <v>6.5535918311222047E-2</v>
      </c>
    </row>
    <row r="214" spans="1:10" x14ac:dyDescent="0.2">
      <c r="A214" s="570">
        <v>2017</v>
      </c>
      <c r="B214" s="570">
        <v>113</v>
      </c>
      <c r="C214" s="570">
        <v>0</v>
      </c>
      <c r="D214" s="570">
        <v>1</v>
      </c>
      <c r="E214" s="570">
        <v>0</v>
      </c>
      <c r="F214" s="571">
        <v>0.2330704047597584</v>
      </c>
      <c r="G214" s="571">
        <v>-8.0651035909550476E-3</v>
      </c>
      <c r="H214" s="572">
        <f>C214*G214</f>
        <v>0</v>
      </c>
      <c r="I214" s="572">
        <f>D214*G214</f>
        <v>-8.0651035909550476E-3</v>
      </c>
      <c r="J214" s="572">
        <f>G214*E214</f>
        <v>0</v>
      </c>
    </row>
    <row r="215" spans="1:10" x14ac:dyDescent="0.2">
      <c r="A215" s="570">
        <v>2018</v>
      </c>
      <c r="B215" s="570">
        <v>115</v>
      </c>
      <c r="C215" s="570">
        <v>0</v>
      </c>
      <c r="D215" s="570">
        <v>1</v>
      </c>
      <c r="E215" s="570">
        <v>1</v>
      </c>
      <c r="F215" s="571">
        <v>0.233034441210169</v>
      </c>
      <c r="G215" s="571">
        <v>0.17766329217919713</v>
      </c>
      <c r="H215" s="572">
        <f>C215*G215</f>
        <v>0</v>
      </c>
      <c r="I215" s="572">
        <f>D215*G215</f>
        <v>0.17766329217919713</v>
      </c>
      <c r="J215" s="572">
        <f>G215*E215</f>
        <v>0.17766329217919713</v>
      </c>
    </row>
    <row r="216" spans="1:10" x14ac:dyDescent="0.2">
      <c r="A216" s="570">
        <v>2017</v>
      </c>
      <c r="B216" s="570">
        <v>115</v>
      </c>
      <c r="C216" s="570">
        <v>0</v>
      </c>
      <c r="D216" s="570">
        <v>1</v>
      </c>
      <c r="E216" s="570">
        <v>1</v>
      </c>
      <c r="F216" s="571">
        <v>0.23174048551422491</v>
      </c>
      <c r="G216" s="571">
        <v>0.15975965631853595</v>
      </c>
      <c r="H216" s="572">
        <f>C216*G216</f>
        <v>0</v>
      </c>
      <c r="I216" s="572">
        <f>D216*G216</f>
        <v>0.15975965631853595</v>
      </c>
      <c r="J216" s="572">
        <f>G216*E216</f>
        <v>0.15975965631853595</v>
      </c>
    </row>
    <row r="217" spans="1:10" x14ac:dyDescent="0.2">
      <c r="A217" s="570">
        <v>2019</v>
      </c>
      <c r="B217" s="570">
        <v>115</v>
      </c>
      <c r="C217" s="570">
        <v>0</v>
      </c>
      <c r="D217" s="570">
        <v>1</v>
      </c>
      <c r="E217" s="570">
        <v>1</v>
      </c>
      <c r="F217" s="571">
        <v>0.24550813705382449</v>
      </c>
      <c r="G217" s="571">
        <v>6.249121296766398E-4</v>
      </c>
      <c r="H217" s="572">
        <f>C217*G217</f>
        <v>0</v>
      </c>
      <c r="I217" s="572">
        <f>D217*G217</f>
        <v>6.249121296766398E-4</v>
      </c>
      <c r="J217" s="572">
        <f>G217*E217</f>
        <v>6.249121296766398E-4</v>
      </c>
    </row>
    <row r="218" spans="1:10" x14ac:dyDescent="0.2">
      <c r="A218" s="570">
        <v>2019</v>
      </c>
      <c r="B218" s="570">
        <v>116</v>
      </c>
      <c r="C218" s="570">
        <v>1</v>
      </c>
      <c r="D218" s="570">
        <v>1</v>
      </c>
      <c r="E218" s="570">
        <v>0</v>
      </c>
      <c r="F218" s="571">
        <v>0.14327837632894491</v>
      </c>
      <c r="G218" s="571">
        <v>0.14697163958185952</v>
      </c>
      <c r="H218" s="572">
        <f>C218*G218</f>
        <v>0.14697163958185952</v>
      </c>
      <c r="I218" s="572">
        <f>D218*G218</f>
        <v>0.14697163958185952</v>
      </c>
      <c r="J218" s="572">
        <f>G218*E218</f>
        <v>0</v>
      </c>
    </row>
    <row r="219" spans="1:10" x14ac:dyDescent="0.2">
      <c r="A219" s="570">
        <v>2017</v>
      </c>
      <c r="B219" s="570">
        <v>116</v>
      </c>
      <c r="C219" s="570">
        <v>1</v>
      </c>
      <c r="D219" s="570">
        <v>1</v>
      </c>
      <c r="E219" s="570">
        <v>0</v>
      </c>
      <c r="F219" s="571">
        <v>8.2083767219410457E-4</v>
      </c>
      <c r="G219" s="571">
        <v>6.7230297693752217E-2</v>
      </c>
      <c r="H219" s="572">
        <f>C219*G219</f>
        <v>6.7230297693752217E-2</v>
      </c>
      <c r="I219" s="572">
        <f>D219*G219</f>
        <v>6.7230297693752217E-2</v>
      </c>
      <c r="J219" s="572">
        <f>G219*E219</f>
        <v>0</v>
      </c>
    </row>
    <row r="220" spans="1:10" x14ac:dyDescent="0.2">
      <c r="A220" s="570">
        <v>2018</v>
      </c>
      <c r="B220" s="570">
        <v>116</v>
      </c>
      <c r="C220" s="570">
        <v>1</v>
      </c>
      <c r="D220" s="570">
        <v>1</v>
      </c>
      <c r="E220" s="570">
        <v>0</v>
      </c>
      <c r="F220" s="571">
        <v>1.6344441518212657E-3</v>
      </c>
      <c r="G220" s="571">
        <v>1.9117045862651616E-2</v>
      </c>
      <c r="H220" s="572">
        <f>C220*G220</f>
        <v>1.9117045862651616E-2</v>
      </c>
      <c r="I220" s="572">
        <f>D220*G220</f>
        <v>1.9117045862651616E-2</v>
      </c>
      <c r="J220" s="572">
        <f>G220*E220</f>
        <v>0</v>
      </c>
    </row>
    <row r="221" spans="1:10" x14ac:dyDescent="0.2">
      <c r="A221" s="570">
        <v>2017</v>
      </c>
      <c r="B221" s="570">
        <v>117</v>
      </c>
      <c r="C221" s="570">
        <v>1</v>
      </c>
      <c r="D221" s="570">
        <v>1</v>
      </c>
      <c r="E221" s="570">
        <v>1</v>
      </c>
      <c r="F221" s="571">
        <v>0</v>
      </c>
      <c r="G221" s="571">
        <v>0.22134044234136716</v>
      </c>
      <c r="H221" s="572">
        <f>C221*G221</f>
        <v>0.22134044234136716</v>
      </c>
      <c r="I221" s="572">
        <f>D221*G221</f>
        <v>0.22134044234136716</v>
      </c>
      <c r="J221" s="572">
        <f>G221*E221</f>
        <v>0.22134044234136716</v>
      </c>
    </row>
    <row r="222" spans="1:10" x14ac:dyDescent="0.2">
      <c r="A222" s="570">
        <v>2018</v>
      </c>
      <c r="B222" s="570">
        <v>117</v>
      </c>
      <c r="C222" s="570">
        <v>1</v>
      </c>
      <c r="D222" s="570">
        <v>1</v>
      </c>
      <c r="E222" s="570">
        <v>1</v>
      </c>
      <c r="F222" s="571">
        <v>0.26296198543985944</v>
      </c>
      <c r="G222" s="571">
        <v>0.12482047415157575</v>
      </c>
      <c r="H222" s="572">
        <f>C222*G222</f>
        <v>0.12482047415157575</v>
      </c>
      <c r="I222" s="572">
        <f>D222*G222</f>
        <v>0.12482047415157575</v>
      </c>
      <c r="J222" s="572">
        <f>G222*E222</f>
        <v>0.12482047415157575</v>
      </c>
    </row>
    <row r="223" spans="1:10" x14ac:dyDescent="0.2">
      <c r="A223" s="570">
        <v>2019</v>
      </c>
      <c r="B223" s="570">
        <v>117</v>
      </c>
      <c r="C223" s="570">
        <v>1</v>
      </c>
      <c r="D223" s="570">
        <v>1</v>
      </c>
      <c r="E223" s="570">
        <v>1</v>
      </c>
      <c r="F223" s="571">
        <v>0.11725826598129839</v>
      </c>
      <c r="G223" s="571">
        <v>-0.14457459427810665</v>
      </c>
      <c r="H223" s="572">
        <f>C223*G223</f>
        <v>-0.14457459427810665</v>
      </c>
      <c r="I223" s="572">
        <f>D223*G223</f>
        <v>-0.14457459427810665</v>
      </c>
      <c r="J223" s="572">
        <f>G223*E223</f>
        <v>-0.14457459427810665</v>
      </c>
    </row>
    <row r="224" spans="1:10" x14ac:dyDescent="0.2">
      <c r="A224" s="570">
        <v>2018</v>
      </c>
      <c r="B224" s="570">
        <v>118</v>
      </c>
      <c r="C224" s="570">
        <v>0</v>
      </c>
      <c r="D224" s="570">
        <v>1</v>
      </c>
      <c r="E224" s="570">
        <v>1</v>
      </c>
      <c r="F224" s="571">
        <v>0.13021413162028092</v>
      </c>
      <c r="G224" s="571">
        <v>0.45504329100972596</v>
      </c>
      <c r="H224" s="572">
        <f>C224*G224</f>
        <v>0</v>
      </c>
      <c r="I224" s="572">
        <f>D224*G224</f>
        <v>0.45504329100972596</v>
      </c>
      <c r="J224" s="572">
        <f>G224*E224</f>
        <v>0.45504329100972596</v>
      </c>
    </row>
    <row r="225" spans="1:10" x14ac:dyDescent="0.2">
      <c r="A225" s="570">
        <v>2019</v>
      </c>
      <c r="B225" s="570">
        <v>118</v>
      </c>
      <c r="C225" s="570">
        <v>0</v>
      </c>
      <c r="D225" s="570">
        <v>1</v>
      </c>
      <c r="E225" s="570">
        <v>1</v>
      </c>
      <c r="F225" s="571">
        <v>0.12429918734516203</v>
      </c>
      <c r="G225" s="571">
        <v>0.10369716018306226</v>
      </c>
      <c r="H225" s="572">
        <f>C225*G225</f>
        <v>0</v>
      </c>
      <c r="I225" s="572">
        <f>D225*G225</f>
        <v>0.10369716018306226</v>
      </c>
      <c r="J225" s="572">
        <f>G225*E225</f>
        <v>0.10369716018306226</v>
      </c>
    </row>
    <row r="226" spans="1:10" x14ac:dyDescent="0.2">
      <c r="A226" s="570">
        <v>2017</v>
      </c>
      <c r="B226" s="570">
        <v>118</v>
      </c>
      <c r="C226" s="570">
        <v>0</v>
      </c>
      <c r="D226" s="570">
        <v>1</v>
      </c>
      <c r="E226" s="570">
        <v>1</v>
      </c>
      <c r="F226" s="571">
        <v>0.16589407470150666</v>
      </c>
      <c r="G226" s="571">
        <v>8.2331857628527808E-2</v>
      </c>
      <c r="H226" s="572">
        <f>C226*G226</f>
        <v>0</v>
      </c>
      <c r="I226" s="572">
        <f>D226*G226</f>
        <v>8.2331857628527808E-2</v>
      </c>
      <c r="J226" s="572">
        <f>G226*E226</f>
        <v>8.2331857628527808E-2</v>
      </c>
    </row>
    <row r="227" spans="1:10" x14ac:dyDescent="0.2">
      <c r="A227" s="570">
        <v>2019</v>
      </c>
      <c r="B227" s="570">
        <v>120</v>
      </c>
      <c r="C227" s="570">
        <v>1</v>
      </c>
      <c r="D227" s="570">
        <v>1</v>
      </c>
      <c r="E227" s="570">
        <v>0</v>
      </c>
      <c r="F227" s="571">
        <v>0.22297653761057423</v>
      </c>
      <c r="G227" s="571">
        <v>8.8141020074166243E-2</v>
      </c>
      <c r="H227" s="572">
        <f>C227*G227</f>
        <v>8.8141020074166243E-2</v>
      </c>
      <c r="I227" s="572">
        <f>D227*G227</f>
        <v>8.8141020074166243E-2</v>
      </c>
      <c r="J227" s="572">
        <f>G227*E227</f>
        <v>0</v>
      </c>
    </row>
    <row r="228" spans="1:10" x14ac:dyDescent="0.2">
      <c r="A228" s="570">
        <v>2017</v>
      </c>
      <c r="B228" s="570">
        <v>120</v>
      </c>
      <c r="C228" s="570">
        <v>1</v>
      </c>
      <c r="D228" s="570">
        <v>1</v>
      </c>
      <c r="E228" s="570">
        <v>0</v>
      </c>
      <c r="F228" s="571">
        <v>0.20107223246246581</v>
      </c>
      <c r="G228" s="571">
        <v>8.4046449991296554E-2</v>
      </c>
      <c r="H228" s="572">
        <f>C228*G228</f>
        <v>8.4046449991296554E-2</v>
      </c>
      <c r="I228" s="572">
        <f>D228*G228</f>
        <v>8.4046449991296554E-2</v>
      </c>
      <c r="J228" s="572">
        <f>G228*E228</f>
        <v>0</v>
      </c>
    </row>
    <row r="229" spans="1:10" x14ac:dyDescent="0.2">
      <c r="A229" s="570">
        <v>2018</v>
      </c>
      <c r="B229" s="570">
        <v>120</v>
      </c>
      <c r="C229" s="570">
        <v>1</v>
      </c>
      <c r="D229" s="570">
        <v>1</v>
      </c>
      <c r="E229" s="570">
        <v>0</v>
      </c>
      <c r="F229" s="571">
        <v>0.18738218736940437</v>
      </c>
      <c r="G229" s="571">
        <v>7.3339738036854799E-2</v>
      </c>
      <c r="H229" s="572">
        <f>C229*G229</f>
        <v>7.3339738036854799E-2</v>
      </c>
      <c r="I229" s="572">
        <f>D229*G229</f>
        <v>7.3339738036854799E-2</v>
      </c>
      <c r="J229" s="572">
        <f>G229*E229</f>
        <v>0</v>
      </c>
    </row>
    <row r="230" spans="1:10" x14ac:dyDescent="0.2">
      <c r="A230" s="570">
        <v>2017</v>
      </c>
      <c r="B230" s="570">
        <v>121</v>
      </c>
      <c r="C230" s="570">
        <v>0</v>
      </c>
      <c r="D230" s="570">
        <v>1</v>
      </c>
      <c r="E230" s="570">
        <v>1</v>
      </c>
      <c r="F230" s="571">
        <v>0.15269854635560454</v>
      </c>
      <c r="G230" s="571">
        <v>0.37776106159368006</v>
      </c>
      <c r="H230" s="572">
        <f>C230*G230</f>
        <v>0</v>
      </c>
      <c r="I230" s="572">
        <f>D230*G230</f>
        <v>0.37776106159368006</v>
      </c>
      <c r="J230" s="572">
        <f>G230*E230</f>
        <v>0.37776106159368006</v>
      </c>
    </row>
    <row r="231" spans="1:10" x14ac:dyDescent="0.2">
      <c r="A231" s="570">
        <v>2019</v>
      </c>
      <c r="B231" s="570">
        <v>121</v>
      </c>
      <c r="C231" s="570">
        <v>0</v>
      </c>
      <c r="D231" s="570">
        <v>1</v>
      </c>
      <c r="E231" s="570">
        <v>0</v>
      </c>
      <c r="F231" s="571">
        <v>0.14703952238172782</v>
      </c>
      <c r="G231" s="571">
        <v>-9.4842777428705109E-3</v>
      </c>
      <c r="H231" s="572">
        <f>C231*G231</f>
        <v>0</v>
      </c>
      <c r="I231" s="572">
        <f>D231*G231</f>
        <v>-9.4842777428705109E-3</v>
      </c>
      <c r="J231" s="572">
        <f>G231*E231</f>
        <v>0</v>
      </c>
    </row>
    <row r="232" spans="1:10" x14ac:dyDescent="0.2">
      <c r="A232" s="570">
        <v>2018</v>
      </c>
      <c r="B232" s="570">
        <v>121</v>
      </c>
      <c r="C232" s="570">
        <v>0</v>
      </c>
      <c r="D232" s="570">
        <v>1</v>
      </c>
      <c r="E232" s="570">
        <v>0</v>
      </c>
      <c r="F232" s="571">
        <v>0.18520485693330585</v>
      </c>
      <c r="G232" s="571">
        <v>-4.0092557886005874E-2</v>
      </c>
      <c r="H232" s="572">
        <f>C232*G232</f>
        <v>0</v>
      </c>
      <c r="I232" s="572">
        <f>D232*G232</f>
        <v>-4.0092557886005874E-2</v>
      </c>
      <c r="J232" s="572">
        <f>G232*E232</f>
        <v>0</v>
      </c>
    </row>
    <row r="233" spans="1:10" x14ac:dyDescent="0.2">
      <c r="A233" s="570">
        <v>2017</v>
      </c>
      <c r="B233" s="570">
        <v>122</v>
      </c>
      <c r="C233" s="570">
        <v>0</v>
      </c>
      <c r="D233" s="570">
        <v>1</v>
      </c>
      <c r="E233" s="570">
        <v>1</v>
      </c>
      <c r="F233" s="571">
        <v>0.27404847480137434</v>
      </c>
      <c r="G233" s="571">
        <v>7.1086108179330421E-2</v>
      </c>
      <c r="H233" s="572">
        <f>C233*G233</f>
        <v>0</v>
      </c>
      <c r="I233" s="572">
        <f>D233*G233</f>
        <v>7.1086108179330421E-2</v>
      </c>
      <c r="J233" s="572">
        <f>G233*E233</f>
        <v>7.1086108179330421E-2</v>
      </c>
    </row>
    <row r="234" spans="1:10" x14ac:dyDescent="0.2">
      <c r="A234" s="570">
        <v>2019</v>
      </c>
      <c r="B234" s="570">
        <v>122</v>
      </c>
      <c r="C234" s="570">
        <v>0</v>
      </c>
      <c r="D234" s="570">
        <v>1</v>
      </c>
      <c r="E234" s="570">
        <v>1</v>
      </c>
      <c r="F234" s="571">
        <v>0.25023472403601504</v>
      </c>
      <c r="G234" s="571">
        <v>5.8668077979239806E-2</v>
      </c>
      <c r="H234" s="572">
        <f>C234*G234</f>
        <v>0</v>
      </c>
      <c r="I234" s="572">
        <f>D234*G234</f>
        <v>5.8668077979239806E-2</v>
      </c>
      <c r="J234" s="572">
        <f>G234*E234</f>
        <v>5.8668077979239806E-2</v>
      </c>
    </row>
    <row r="235" spans="1:10" x14ac:dyDescent="0.2">
      <c r="A235" s="570">
        <v>2018</v>
      </c>
      <c r="B235" s="570">
        <v>122</v>
      </c>
      <c r="C235" s="570">
        <v>0</v>
      </c>
      <c r="D235" s="570">
        <v>1</v>
      </c>
      <c r="E235" s="570">
        <v>1</v>
      </c>
      <c r="F235" s="571">
        <v>0.33330139449827395</v>
      </c>
      <c r="G235" s="571">
        <v>-2.1297891405727777E-2</v>
      </c>
      <c r="H235" s="572">
        <f>C235*G235</f>
        <v>0</v>
      </c>
      <c r="I235" s="572">
        <f>D235*G235</f>
        <v>-2.1297891405727777E-2</v>
      </c>
      <c r="J235" s="572">
        <f>G235*E235</f>
        <v>-2.1297891405727777E-2</v>
      </c>
    </row>
    <row r="236" spans="1:10" x14ac:dyDescent="0.2">
      <c r="A236" s="570">
        <v>2017</v>
      </c>
      <c r="B236" s="570">
        <v>124</v>
      </c>
      <c r="C236" s="570">
        <v>1</v>
      </c>
      <c r="D236" s="570">
        <v>1</v>
      </c>
      <c r="E236" s="570">
        <v>0</v>
      </c>
      <c r="F236" s="571">
        <v>0.27769052251576454</v>
      </c>
      <c r="G236" s="571">
        <v>0.102490265015086</v>
      </c>
      <c r="H236" s="572">
        <f>C236*G236</f>
        <v>0.102490265015086</v>
      </c>
      <c r="I236" s="572">
        <f>D236*G236</f>
        <v>0.102490265015086</v>
      </c>
      <c r="J236" s="572">
        <f>G236*E236</f>
        <v>0</v>
      </c>
    </row>
    <row r="237" spans="1:10" x14ac:dyDescent="0.2">
      <c r="A237" s="570">
        <v>2019</v>
      </c>
      <c r="B237" s="570">
        <v>124</v>
      </c>
      <c r="C237" s="570">
        <v>1</v>
      </c>
      <c r="D237" s="570">
        <v>1</v>
      </c>
      <c r="E237" s="570">
        <v>0</v>
      </c>
      <c r="F237" s="571">
        <v>0.27297668038408779</v>
      </c>
      <c r="G237" s="571">
        <v>3.6571751896256423E-2</v>
      </c>
      <c r="H237" s="572">
        <f>C237*G237</f>
        <v>3.6571751896256423E-2</v>
      </c>
      <c r="I237" s="572">
        <f>D237*G237</f>
        <v>3.6571751896256423E-2</v>
      </c>
      <c r="J237" s="572">
        <f>G237*E237</f>
        <v>0</v>
      </c>
    </row>
    <row r="238" spans="1:10" x14ac:dyDescent="0.2">
      <c r="A238" s="570">
        <v>2018</v>
      </c>
      <c r="B238" s="570">
        <v>124</v>
      </c>
      <c r="C238" s="570">
        <v>1</v>
      </c>
      <c r="D238" s="570">
        <v>1</v>
      </c>
      <c r="E238" s="570">
        <v>0</v>
      </c>
      <c r="F238" s="571">
        <v>0.2849883257794259</v>
      </c>
      <c r="G238" s="571">
        <v>1.971057884231537E-2</v>
      </c>
      <c r="H238" s="572">
        <f>C238*G238</f>
        <v>1.971057884231537E-2</v>
      </c>
      <c r="I238" s="572">
        <f>D238*G238</f>
        <v>1.971057884231537E-2</v>
      </c>
      <c r="J238" s="572">
        <f>G238*E238</f>
        <v>0</v>
      </c>
    </row>
    <row r="239" spans="1:10" x14ac:dyDescent="0.2">
      <c r="A239" s="570">
        <v>2018</v>
      </c>
      <c r="B239" s="570">
        <v>126</v>
      </c>
      <c r="C239" s="570">
        <v>1</v>
      </c>
      <c r="D239" s="570">
        <v>1</v>
      </c>
      <c r="E239" s="570">
        <v>0</v>
      </c>
      <c r="F239" s="571">
        <v>0.27841471434347587</v>
      </c>
      <c r="G239" s="571">
        <v>0.80741810402380487</v>
      </c>
      <c r="H239" s="572">
        <f>C239*G239</f>
        <v>0.80741810402380487</v>
      </c>
      <c r="I239" s="572">
        <f>D239*G239</f>
        <v>0.80741810402380487</v>
      </c>
      <c r="J239" s="572">
        <f>G239*E239</f>
        <v>0</v>
      </c>
    </row>
    <row r="240" spans="1:10" x14ac:dyDescent="0.2">
      <c r="A240" s="570">
        <v>2017</v>
      </c>
      <c r="B240" s="570">
        <v>126</v>
      </c>
      <c r="C240" s="570">
        <v>1</v>
      </c>
      <c r="D240" s="570">
        <v>1</v>
      </c>
      <c r="E240" s="570">
        <v>1</v>
      </c>
      <c r="F240" s="571">
        <v>0.2192624276758729</v>
      </c>
      <c r="G240" s="571">
        <v>0.20489859606432004</v>
      </c>
      <c r="H240" s="572">
        <f>C240*G240</f>
        <v>0.20489859606432004</v>
      </c>
      <c r="I240" s="572">
        <f>D240*G240</f>
        <v>0.20489859606432004</v>
      </c>
      <c r="J240" s="572">
        <f>G240*E240</f>
        <v>0.20489859606432004</v>
      </c>
    </row>
    <row r="241" spans="1:10" x14ac:dyDescent="0.2">
      <c r="A241" s="570">
        <v>2019</v>
      </c>
      <c r="B241" s="570">
        <v>126</v>
      </c>
      <c r="C241" s="570">
        <v>1</v>
      </c>
      <c r="D241" s="570">
        <v>1</v>
      </c>
      <c r="E241" s="570">
        <v>0</v>
      </c>
      <c r="F241" s="571">
        <v>0.2798877026653192</v>
      </c>
      <c r="G241" s="571">
        <v>-3.4413793103448276E-2</v>
      </c>
      <c r="H241" s="572">
        <f>C241*G241</f>
        <v>-3.4413793103448276E-2</v>
      </c>
      <c r="I241" s="572">
        <f>D241*G241</f>
        <v>-3.4413793103448276E-2</v>
      </c>
      <c r="J241" s="572">
        <f>G241*E241</f>
        <v>0</v>
      </c>
    </row>
    <row r="242" spans="1:10" x14ac:dyDescent="0.2">
      <c r="A242" s="570">
        <v>2019</v>
      </c>
      <c r="B242" s="570">
        <v>129</v>
      </c>
      <c r="C242" s="570">
        <v>1</v>
      </c>
      <c r="D242" s="570">
        <v>1</v>
      </c>
      <c r="E242" s="570">
        <v>1</v>
      </c>
      <c r="F242" s="571">
        <v>0.76361691752098781</v>
      </c>
      <c r="G242" s="571">
        <v>8.9781181423392364E-2</v>
      </c>
      <c r="H242" s="572">
        <f>C242*G242</f>
        <v>8.9781181423392364E-2</v>
      </c>
      <c r="I242" s="572">
        <f>D242*G242</f>
        <v>8.9781181423392364E-2</v>
      </c>
      <c r="J242" s="572">
        <f>G242*E242</f>
        <v>8.9781181423392364E-2</v>
      </c>
    </row>
    <row r="243" spans="1:10" x14ac:dyDescent="0.2">
      <c r="A243" s="570">
        <v>2018</v>
      </c>
      <c r="B243" s="570">
        <v>129</v>
      </c>
      <c r="C243" s="570">
        <v>1</v>
      </c>
      <c r="D243" s="570">
        <v>1</v>
      </c>
      <c r="E243" s="570">
        <v>1</v>
      </c>
      <c r="F243" s="571">
        <v>0.72344010163659289</v>
      </c>
      <c r="G243" s="571">
        <v>5.4639993667982473E-2</v>
      </c>
      <c r="H243" s="572">
        <f>C243*G243</f>
        <v>5.4639993667982473E-2</v>
      </c>
      <c r="I243" s="572">
        <f>D243*G243</f>
        <v>5.4639993667982473E-2</v>
      </c>
      <c r="J243" s="572">
        <f>G243*E243</f>
        <v>5.4639993667982473E-2</v>
      </c>
    </row>
    <row r="244" spans="1:10" x14ac:dyDescent="0.2">
      <c r="A244" s="570">
        <v>2017</v>
      </c>
      <c r="B244" s="570">
        <v>129</v>
      </c>
      <c r="C244" s="570">
        <v>1</v>
      </c>
      <c r="D244" s="570">
        <v>1</v>
      </c>
      <c r="E244" s="570">
        <v>1</v>
      </c>
      <c r="F244" s="571">
        <v>0.72384202731722613</v>
      </c>
      <c r="G244" s="571">
        <v>4.6751135710599544E-2</v>
      </c>
      <c r="H244" s="572">
        <f>C244*G244</f>
        <v>4.6751135710599544E-2</v>
      </c>
      <c r="I244" s="572">
        <f>D244*G244</f>
        <v>4.6751135710599544E-2</v>
      </c>
      <c r="J244" s="572">
        <f>G244*E244</f>
        <v>4.6751135710599544E-2</v>
      </c>
    </row>
    <row r="245" spans="1:10" x14ac:dyDescent="0.2">
      <c r="A245" s="570">
        <v>2018</v>
      </c>
      <c r="B245" s="570">
        <v>130</v>
      </c>
      <c r="C245" s="570">
        <v>1</v>
      </c>
      <c r="D245" s="570">
        <v>1</v>
      </c>
      <c r="E245" s="570">
        <v>0</v>
      </c>
      <c r="F245" s="571">
        <v>0.15177700496015872</v>
      </c>
      <c r="G245" s="571">
        <v>0.16811679399265531</v>
      </c>
      <c r="H245" s="572">
        <f>C245*G245</f>
        <v>0.16811679399265531</v>
      </c>
      <c r="I245" s="572">
        <f>D245*G245</f>
        <v>0.16811679399265531</v>
      </c>
      <c r="J245" s="572">
        <f>G245*E245</f>
        <v>0</v>
      </c>
    </row>
    <row r="246" spans="1:10" x14ac:dyDescent="0.2">
      <c r="A246" s="570">
        <v>2017</v>
      </c>
      <c r="B246" s="570">
        <v>130</v>
      </c>
      <c r="C246" s="570">
        <v>1</v>
      </c>
      <c r="D246" s="570">
        <v>1</v>
      </c>
      <c r="E246" s="570">
        <v>0</v>
      </c>
      <c r="F246" s="571">
        <v>0.29338855474578251</v>
      </c>
      <c r="G246" s="571">
        <v>0.12511860424317509</v>
      </c>
      <c r="H246" s="572">
        <f>C246*G246</f>
        <v>0.12511860424317509</v>
      </c>
      <c r="I246" s="572">
        <f>D246*G246</f>
        <v>0.12511860424317509</v>
      </c>
      <c r="J246" s="572">
        <f>G246*E246</f>
        <v>0</v>
      </c>
    </row>
    <row r="247" spans="1:10" x14ac:dyDescent="0.2">
      <c r="A247" s="570">
        <v>2019</v>
      </c>
      <c r="B247" s="570">
        <v>130</v>
      </c>
      <c r="C247" s="570">
        <v>1</v>
      </c>
      <c r="D247" s="570">
        <v>1</v>
      </c>
      <c r="E247" s="570">
        <v>0</v>
      </c>
      <c r="F247" s="571">
        <v>0.55264768119447016</v>
      </c>
      <c r="G247" s="571">
        <v>-0.11239650130025318</v>
      </c>
      <c r="H247" s="572">
        <f>C247*G247</f>
        <v>-0.11239650130025318</v>
      </c>
      <c r="I247" s="572">
        <f>D247*G247</f>
        <v>-0.11239650130025318</v>
      </c>
      <c r="J247" s="572">
        <f>G247*E247</f>
        <v>0</v>
      </c>
    </row>
    <row r="248" spans="1:10" x14ac:dyDescent="0.2">
      <c r="A248" s="570">
        <v>2017</v>
      </c>
      <c r="B248" s="570">
        <v>132</v>
      </c>
      <c r="C248" s="570">
        <v>1</v>
      </c>
      <c r="D248" s="570">
        <v>1</v>
      </c>
      <c r="E248" s="570">
        <v>1</v>
      </c>
      <c r="F248" s="571">
        <v>0.15491325052218274</v>
      </c>
      <c r="G248" s="571">
        <v>0.41766105089417616</v>
      </c>
      <c r="H248" s="572">
        <f>C248*G248</f>
        <v>0.41766105089417616</v>
      </c>
      <c r="I248" s="572">
        <f>D248*G248</f>
        <v>0.41766105089417616</v>
      </c>
      <c r="J248" s="572">
        <f>G248*E248</f>
        <v>0.41766105089417616</v>
      </c>
    </row>
    <row r="249" spans="1:10" x14ac:dyDescent="0.2">
      <c r="A249" s="570">
        <v>2018</v>
      </c>
      <c r="B249" s="570">
        <v>132</v>
      </c>
      <c r="C249" s="570">
        <v>1</v>
      </c>
      <c r="D249" s="570">
        <v>1</v>
      </c>
      <c r="E249" s="570">
        <v>1</v>
      </c>
      <c r="F249" s="571">
        <v>0.2070841040571163</v>
      </c>
      <c r="G249" s="571">
        <v>0.3108081846857963</v>
      </c>
      <c r="H249" s="572">
        <f>C249*G249</f>
        <v>0.3108081846857963</v>
      </c>
      <c r="I249" s="572">
        <f>D249*G249</f>
        <v>0.3108081846857963</v>
      </c>
      <c r="J249" s="572">
        <f>G249*E249</f>
        <v>0.3108081846857963</v>
      </c>
    </row>
    <row r="250" spans="1:10" x14ac:dyDescent="0.2">
      <c r="A250" s="570">
        <v>2019</v>
      </c>
      <c r="B250" s="570">
        <v>132</v>
      </c>
      <c r="C250" s="570">
        <v>1</v>
      </c>
      <c r="D250" s="570">
        <v>1</v>
      </c>
      <c r="E250" s="570">
        <v>1</v>
      </c>
      <c r="F250" s="571">
        <v>0.39682901307336715</v>
      </c>
      <c r="G250" s="571">
        <v>-2.2954873015670254E-3</v>
      </c>
      <c r="H250" s="572">
        <f>C250*G250</f>
        <v>-2.2954873015670254E-3</v>
      </c>
      <c r="I250" s="572">
        <f>D250*G250</f>
        <v>-2.2954873015670254E-3</v>
      </c>
      <c r="J250" s="572">
        <f>G250*E250</f>
        <v>-2.2954873015670254E-3</v>
      </c>
    </row>
    <row r="251" spans="1:10" x14ac:dyDescent="0.2">
      <c r="A251" s="570">
        <v>2017</v>
      </c>
      <c r="B251" s="570">
        <v>133</v>
      </c>
      <c r="C251" s="570">
        <v>1</v>
      </c>
      <c r="D251" s="570">
        <v>1</v>
      </c>
      <c r="E251" s="570">
        <v>1</v>
      </c>
      <c r="F251" s="571">
        <v>0.2567366659976284</v>
      </c>
      <c r="G251" s="571">
        <v>2.8730855841348317E-2</v>
      </c>
      <c r="H251" s="572">
        <f>C251*G251</f>
        <v>2.8730855841348317E-2</v>
      </c>
      <c r="I251" s="572">
        <f>D251*G251</f>
        <v>2.8730855841348317E-2</v>
      </c>
      <c r="J251" s="572">
        <f>G251*E251</f>
        <v>2.8730855841348317E-2</v>
      </c>
    </row>
    <row r="252" spans="1:10" x14ac:dyDescent="0.2">
      <c r="A252" s="570">
        <v>2019</v>
      </c>
      <c r="B252" s="570">
        <v>133</v>
      </c>
      <c r="C252" s="570">
        <v>1</v>
      </c>
      <c r="D252" s="570">
        <v>1</v>
      </c>
      <c r="E252" s="570">
        <v>1</v>
      </c>
      <c r="F252" s="571">
        <v>0.31514268355199454</v>
      </c>
      <c r="G252" s="571">
        <v>2.6804651530080818E-2</v>
      </c>
      <c r="H252" s="572">
        <f>C252*G252</f>
        <v>2.6804651530080818E-2</v>
      </c>
      <c r="I252" s="572">
        <f>D252*G252</f>
        <v>2.6804651530080818E-2</v>
      </c>
      <c r="J252" s="572">
        <f>G252*E252</f>
        <v>2.6804651530080818E-2</v>
      </c>
    </row>
    <row r="253" spans="1:10" x14ac:dyDescent="0.2">
      <c r="A253" s="570">
        <v>2018</v>
      </c>
      <c r="B253" s="570">
        <v>133</v>
      </c>
      <c r="C253" s="570">
        <v>1</v>
      </c>
      <c r="D253" s="570">
        <v>1</v>
      </c>
      <c r="E253" s="570">
        <v>1</v>
      </c>
      <c r="F253" s="571">
        <v>0.1926711588417172</v>
      </c>
      <c r="G253" s="571">
        <v>1.4502368794095598E-2</v>
      </c>
      <c r="H253" s="572">
        <f>C253*G253</f>
        <v>1.4502368794095598E-2</v>
      </c>
      <c r="I253" s="572">
        <f>D253*G253</f>
        <v>1.4502368794095598E-2</v>
      </c>
      <c r="J253" s="572">
        <f>G253*E253</f>
        <v>1.4502368794095598E-2</v>
      </c>
    </row>
    <row r="254" spans="1:10" x14ac:dyDescent="0.2">
      <c r="A254" s="570">
        <v>2018</v>
      </c>
      <c r="B254" s="570">
        <v>134</v>
      </c>
      <c r="C254" s="570">
        <v>1</v>
      </c>
      <c r="D254" s="570">
        <v>1</v>
      </c>
      <c r="E254" s="570">
        <v>1</v>
      </c>
      <c r="F254" s="571">
        <v>0.49328539192447068</v>
      </c>
      <c r="G254" s="571">
        <v>0.18868144080918431</v>
      </c>
      <c r="H254" s="572">
        <f>C254*G254</f>
        <v>0.18868144080918431</v>
      </c>
      <c r="I254" s="572">
        <f>D254*G254</f>
        <v>0.18868144080918431</v>
      </c>
      <c r="J254" s="572">
        <f>G254*E254</f>
        <v>0.18868144080918431</v>
      </c>
    </row>
    <row r="255" spans="1:10" x14ac:dyDescent="0.2">
      <c r="A255" s="570">
        <v>2017</v>
      </c>
      <c r="B255" s="570">
        <v>134</v>
      </c>
      <c r="C255" s="570">
        <v>1</v>
      </c>
      <c r="D255" s="570">
        <v>1</v>
      </c>
      <c r="E255" s="570">
        <v>1</v>
      </c>
      <c r="F255" s="571">
        <v>0.30191821581748202</v>
      </c>
      <c r="G255" s="571">
        <v>0.11667935780588229</v>
      </c>
      <c r="H255" s="572">
        <f>C255*G255</f>
        <v>0.11667935780588229</v>
      </c>
      <c r="I255" s="572">
        <f>D255*G255</f>
        <v>0.11667935780588229</v>
      </c>
      <c r="J255" s="572">
        <f>G255*E255</f>
        <v>0.11667935780588229</v>
      </c>
    </row>
    <row r="256" spans="1:10" x14ac:dyDescent="0.2">
      <c r="A256" s="570">
        <v>2019</v>
      </c>
      <c r="B256" s="570">
        <v>134</v>
      </c>
      <c r="C256" s="570">
        <v>1</v>
      </c>
      <c r="D256" s="570">
        <v>1</v>
      </c>
      <c r="E256" s="570">
        <v>1</v>
      </c>
      <c r="F256" s="571">
        <v>0.13073783951321111</v>
      </c>
      <c r="G256" s="571">
        <v>-5.4883720931304374E-3</v>
      </c>
      <c r="H256" s="572">
        <f>C256*G256</f>
        <v>-5.4883720931304374E-3</v>
      </c>
      <c r="I256" s="572">
        <f>D256*G256</f>
        <v>-5.4883720931304374E-3</v>
      </c>
      <c r="J256" s="572">
        <f>G256*E256</f>
        <v>-5.4883720931304374E-3</v>
      </c>
    </row>
  </sheetData>
  <autoFilter ref="A1:J256">
    <sortState ref="A2:J256">
      <sortCondition ref="B1:B307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00"/>
  <sheetViews>
    <sheetView topLeftCell="B302" workbookViewId="0">
      <pane xSplit="1" topLeftCell="C1" activePane="topRight" state="frozen"/>
      <selection activeCell="B11" sqref="B11"/>
      <selection pane="topRight" activeCell="H305" sqref="H305:H306"/>
    </sheetView>
  </sheetViews>
  <sheetFormatPr defaultColWidth="12.625" defaultRowHeight="15" customHeight="1" x14ac:dyDescent="0.25"/>
  <cols>
    <col min="1" max="1" width="7.625" style="1" customWidth="1"/>
    <col min="2" max="2" width="7.625" style="54" customWidth="1"/>
    <col min="3" max="3" width="24.875" style="55" customWidth="1"/>
    <col min="4" max="4" width="10" style="3" customWidth="1"/>
    <col min="5" max="5" width="4.25" style="3" customWidth="1"/>
    <col min="6" max="6" width="4.375" style="3" customWidth="1"/>
    <col min="7" max="7" width="4.25" style="3" customWidth="1"/>
    <col min="8" max="8" width="7.625" style="3" customWidth="1"/>
    <col min="9" max="9" width="24.25" style="3" customWidth="1"/>
    <col min="10" max="10" width="41.375" style="5" customWidth="1"/>
    <col min="11" max="26" width="7.625" style="1" customWidth="1"/>
    <col min="27" max="16384" width="12.625" style="1"/>
  </cols>
  <sheetData>
    <row r="2" spans="1:10" x14ac:dyDescent="0.25">
      <c r="B2" s="54" t="s">
        <v>0</v>
      </c>
      <c r="C2" s="55" t="s">
        <v>1</v>
      </c>
    </row>
    <row r="3" spans="1:10" x14ac:dyDescent="0.25">
      <c r="B3" s="54" t="s">
        <v>2</v>
      </c>
      <c r="C3" s="55" t="s">
        <v>3</v>
      </c>
    </row>
    <row r="4" spans="1:10" x14ac:dyDescent="0.25">
      <c r="B4" s="57" t="s">
        <v>4</v>
      </c>
    </row>
    <row r="5" spans="1:10" ht="47.25" customHeight="1" x14ac:dyDescent="0.25">
      <c r="B5" s="463" t="s">
        <v>121</v>
      </c>
      <c r="C5" s="463"/>
      <c r="D5" s="463"/>
      <c r="E5" s="463"/>
      <c r="F5" s="463"/>
      <c r="G5" s="463"/>
      <c r="H5" s="463"/>
      <c r="I5" s="463"/>
      <c r="J5" s="463"/>
    </row>
    <row r="6" spans="1:10" ht="44.25" customHeight="1" x14ac:dyDescent="0.25">
      <c r="B6" s="464" t="s">
        <v>122</v>
      </c>
      <c r="C6" s="464"/>
      <c r="D6" s="464"/>
      <c r="E6" s="464"/>
      <c r="F6" s="464"/>
      <c r="G6" s="464"/>
      <c r="H6" s="464"/>
      <c r="I6" s="464"/>
      <c r="J6" s="464"/>
    </row>
    <row r="7" spans="1:10" ht="45.75" customHeight="1" x14ac:dyDescent="0.25">
      <c r="B7" s="464" t="s">
        <v>416</v>
      </c>
      <c r="C7" s="464"/>
      <c r="D7" s="464"/>
      <c r="E7" s="464"/>
      <c r="F7" s="464"/>
      <c r="G7" s="464"/>
      <c r="H7" s="464"/>
      <c r="I7" s="464"/>
      <c r="J7" s="464"/>
    </row>
    <row r="8" spans="1:10" ht="15" customHeight="1" x14ac:dyDescent="0.25">
      <c r="A8" s="62"/>
      <c r="B8" s="63"/>
      <c r="C8" s="64"/>
    </row>
    <row r="9" spans="1:10" ht="30" customHeight="1" x14ac:dyDescent="0.25">
      <c r="B9" s="473" t="s">
        <v>5</v>
      </c>
      <c r="C9" s="465" t="s">
        <v>6</v>
      </c>
      <c r="D9" s="467" t="s">
        <v>7</v>
      </c>
      <c r="E9" s="475" t="s">
        <v>8</v>
      </c>
      <c r="F9" s="476"/>
      <c r="G9" s="476"/>
      <c r="H9" s="471" t="s">
        <v>9</v>
      </c>
      <c r="I9" s="471" t="s">
        <v>10</v>
      </c>
      <c r="J9" s="469" t="s">
        <v>11</v>
      </c>
    </row>
    <row r="10" spans="1:10" x14ac:dyDescent="0.25">
      <c r="B10" s="474"/>
      <c r="C10" s="466"/>
      <c r="D10" s="468"/>
      <c r="E10" s="2" t="s">
        <v>59</v>
      </c>
      <c r="F10" s="11" t="s">
        <v>60</v>
      </c>
      <c r="G10" s="239" t="s">
        <v>61</v>
      </c>
      <c r="H10" s="468"/>
      <c r="I10" s="472"/>
      <c r="J10" s="470"/>
    </row>
    <row r="11" spans="1:10" x14ac:dyDescent="0.25">
      <c r="B11" s="479" t="s">
        <v>15</v>
      </c>
      <c r="C11" s="477" t="s">
        <v>16</v>
      </c>
      <c r="D11" s="15">
        <v>2017</v>
      </c>
      <c r="E11" s="15"/>
      <c r="F11" s="16" t="s">
        <v>17</v>
      </c>
      <c r="G11" s="17"/>
      <c r="H11" s="15">
        <v>1</v>
      </c>
      <c r="I11" s="15" t="s">
        <v>18</v>
      </c>
      <c r="J11" s="18" t="s">
        <v>19</v>
      </c>
    </row>
    <row r="12" spans="1:10" x14ac:dyDescent="0.25">
      <c r="B12" s="480"/>
      <c r="C12" s="478"/>
      <c r="D12" s="17">
        <v>2018</v>
      </c>
      <c r="E12" s="17"/>
      <c r="F12" s="19" t="s">
        <v>17</v>
      </c>
      <c r="G12" s="17"/>
      <c r="H12" s="17">
        <v>1</v>
      </c>
      <c r="I12" s="17" t="s">
        <v>20</v>
      </c>
      <c r="J12" s="20" t="s">
        <v>21</v>
      </c>
    </row>
    <row r="13" spans="1:10" x14ac:dyDescent="0.25">
      <c r="B13" s="480"/>
      <c r="C13" s="478"/>
      <c r="D13" s="17">
        <v>2019</v>
      </c>
      <c r="E13" s="17"/>
      <c r="F13" s="19" t="s">
        <v>17</v>
      </c>
      <c r="G13" s="17"/>
      <c r="H13" s="17">
        <v>1</v>
      </c>
      <c r="I13" s="17" t="s">
        <v>20</v>
      </c>
      <c r="J13" s="20" t="s">
        <v>21</v>
      </c>
    </row>
    <row r="14" spans="1:10" x14ac:dyDescent="0.25">
      <c r="B14" s="479" t="s">
        <v>24</v>
      </c>
      <c r="C14" s="477" t="s">
        <v>25</v>
      </c>
      <c r="D14" s="17">
        <v>2017</v>
      </c>
      <c r="E14" s="17"/>
      <c r="F14" s="17"/>
      <c r="G14" s="17"/>
      <c r="H14" s="17">
        <v>0</v>
      </c>
      <c r="I14" s="448" t="s">
        <v>26</v>
      </c>
      <c r="J14" s="451" t="s">
        <v>26</v>
      </c>
    </row>
    <row r="15" spans="1:10" x14ac:dyDescent="0.25">
      <c r="B15" s="480"/>
      <c r="C15" s="478"/>
      <c r="D15" s="17">
        <v>2018</v>
      </c>
      <c r="E15" s="17"/>
      <c r="F15" s="17"/>
      <c r="G15" s="17"/>
      <c r="H15" s="17">
        <v>0</v>
      </c>
      <c r="I15" s="449"/>
      <c r="J15" s="452"/>
    </row>
    <row r="16" spans="1:10" x14ac:dyDescent="0.25">
      <c r="B16" s="480"/>
      <c r="C16" s="478"/>
      <c r="D16" s="17">
        <v>2019</v>
      </c>
      <c r="E16" s="21"/>
      <c r="F16" s="17"/>
      <c r="G16" s="17"/>
      <c r="H16" s="17">
        <v>0</v>
      </c>
      <c r="I16" s="450"/>
      <c r="J16" s="453"/>
    </row>
    <row r="17" spans="2:10" x14ac:dyDescent="0.25">
      <c r="B17" s="479" t="s">
        <v>131</v>
      </c>
      <c r="C17" s="477" t="s">
        <v>28</v>
      </c>
      <c r="D17" s="22">
        <v>2017</v>
      </c>
      <c r="E17" s="23"/>
      <c r="F17" s="17"/>
      <c r="G17" s="19"/>
      <c r="H17" s="17">
        <v>0</v>
      </c>
      <c r="I17" s="448" t="s">
        <v>26</v>
      </c>
      <c r="J17" s="451" t="s">
        <v>26</v>
      </c>
    </row>
    <row r="18" spans="2:10" ht="15.75" customHeight="1" x14ac:dyDescent="0.25">
      <c r="B18" s="480"/>
      <c r="C18" s="478"/>
      <c r="D18" s="22">
        <v>2018</v>
      </c>
      <c r="E18" s="23"/>
      <c r="F18" s="17"/>
      <c r="G18" s="19"/>
      <c r="H18" s="17">
        <v>0</v>
      </c>
      <c r="I18" s="449"/>
      <c r="J18" s="452"/>
    </row>
    <row r="19" spans="2:10" ht="15.75" customHeight="1" x14ac:dyDescent="0.25">
      <c r="B19" s="480"/>
      <c r="C19" s="478"/>
      <c r="D19" s="22">
        <v>2019</v>
      </c>
      <c r="E19" s="23"/>
      <c r="F19" s="17"/>
      <c r="G19" s="19"/>
      <c r="H19" s="17">
        <v>0</v>
      </c>
      <c r="I19" s="450"/>
      <c r="J19" s="453"/>
    </row>
    <row r="20" spans="2:10" x14ac:dyDescent="0.25">
      <c r="B20" s="461" t="s">
        <v>57</v>
      </c>
      <c r="C20" s="462" t="s">
        <v>58</v>
      </c>
      <c r="D20" s="17">
        <v>2017</v>
      </c>
      <c r="E20" s="24"/>
      <c r="F20" s="25" t="s">
        <v>17</v>
      </c>
      <c r="G20" s="25"/>
      <c r="H20" s="17">
        <v>1</v>
      </c>
      <c r="I20" s="448" t="s">
        <v>62</v>
      </c>
      <c r="J20" s="451" t="s">
        <v>63</v>
      </c>
    </row>
    <row r="21" spans="2:10" ht="15.75" customHeight="1" x14ac:dyDescent="0.25">
      <c r="B21" s="461"/>
      <c r="C21" s="462"/>
      <c r="D21" s="17">
        <v>2018</v>
      </c>
      <c r="E21" s="25"/>
      <c r="F21" s="25" t="s">
        <v>17</v>
      </c>
      <c r="G21" s="25"/>
      <c r="H21" s="17">
        <v>1</v>
      </c>
      <c r="I21" s="449"/>
      <c r="J21" s="452"/>
    </row>
    <row r="22" spans="2:10" ht="15.75" customHeight="1" x14ac:dyDescent="0.25">
      <c r="B22" s="461"/>
      <c r="C22" s="462"/>
      <c r="D22" s="17">
        <v>2019</v>
      </c>
      <c r="E22" s="25"/>
      <c r="F22" s="25" t="s">
        <v>17</v>
      </c>
      <c r="G22" s="25"/>
      <c r="H22" s="17">
        <v>1</v>
      </c>
      <c r="I22" s="450"/>
      <c r="J22" s="453"/>
    </row>
    <row r="23" spans="2:10" ht="15.75" customHeight="1" x14ac:dyDescent="0.25">
      <c r="B23" s="461" t="s">
        <v>74</v>
      </c>
      <c r="C23" s="462" t="s">
        <v>75</v>
      </c>
      <c r="D23" s="17">
        <v>2017</v>
      </c>
      <c r="E23" s="25"/>
      <c r="F23" s="25"/>
      <c r="G23" s="25"/>
      <c r="H23" s="25">
        <v>0</v>
      </c>
      <c r="I23" s="448" t="s">
        <v>26</v>
      </c>
      <c r="J23" s="451" t="s">
        <v>26</v>
      </c>
    </row>
    <row r="24" spans="2:10" ht="15.75" customHeight="1" x14ac:dyDescent="0.25">
      <c r="B24" s="461"/>
      <c r="C24" s="462"/>
      <c r="D24" s="17">
        <v>2018</v>
      </c>
      <c r="E24" s="25"/>
      <c r="F24" s="25"/>
      <c r="G24" s="25"/>
      <c r="H24" s="25">
        <v>0</v>
      </c>
      <c r="I24" s="449"/>
      <c r="J24" s="452"/>
    </row>
    <row r="25" spans="2:10" ht="15.75" customHeight="1" x14ac:dyDescent="0.25">
      <c r="B25" s="461"/>
      <c r="C25" s="462"/>
      <c r="D25" s="17">
        <v>2019</v>
      </c>
      <c r="E25" s="25"/>
      <c r="F25" s="25"/>
      <c r="G25" s="25"/>
      <c r="H25" s="25">
        <v>0</v>
      </c>
      <c r="I25" s="450"/>
      <c r="J25" s="453"/>
    </row>
    <row r="26" spans="2:10" x14ac:dyDescent="0.25">
      <c r="B26" s="461" t="s">
        <v>106</v>
      </c>
      <c r="C26" s="462" t="s">
        <v>107</v>
      </c>
      <c r="D26" s="17">
        <v>2017</v>
      </c>
      <c r="E26" s="25"/>
      <c r="F26" s="25"/>
      <c r="G26" s="25"/>
      <c r="H26" s="25">
        <v>0</v>
      </c>
      <c r="I26" s="448" t="s">
        <v>26</v>
      </c>
      <c r="J26" s="451" t="s">
        <v>26</v>
      </c>
    </row>
    <row r="27" spans="2:10" ht="15.75" customHeight="1" x14ac:dyDescent="0.25">
      <c r="B27" s="461"/>
      <c r="C27" s="462"/>
      <c r="D27" s="17">
        <v>2018</v>
      </c>
      <c r="E27" s="25"/>
      <c r="F27" s="25"/>
      <c r="G27" s="25"/>
      <c r="H27" s="25">
        <v>0</v>
      </c>
      <c r="I27" s="449"/>
      <c r="J27" s="452"/>
    </row>
    <row r="28" spans="2:10" ht="15.75" customHeight="1" x14ac:dyDescent="0.25">
      <c r="B28" s="461"/>
      <c r="C28" s="462"/>
      <c r="D28" s="17">
        <v>2019</v>
      </c>
      <c r="E28" s="25"/>
      <c r="F28" s="25"/>
      <c r="G28" s="25"/>
      <c r="H28" s="25">
        <v>0</v>
      </c>
      <c r="I28" s="450"/>
      <c r="J28" s="453"/>
    </row>
    <row r="29" spans="2:10" ht="15.75" customHeight="1" x14ac:dyDescent="0.25">
      <c r="B29" s="461" t="s">
        <v>112</v>
      </c>
      <c r="C29" s="462" t="s">
        <v>117</v>
      </c>
      <c r="D29" s="17">
        <v>2017</v>
      </c>
      <c r="E29" s="25"/>
      <c r="F29" s="25" t="s">
        <v>17</v>
      </c>
      <c r="G29" s="25"/>
      <c r="H29" s="25">
        <v>1</v>
      </c>
      <c r="I29" s="451" t="s">
        <v>884</v>
      </c>
      <c r="J29" s="451" t="s">
        <v>885</v>
      </c>
    </row>
    <row r="30" spans="2:10" ht="15.75" customHeight="1" x14ac:dyDescent="0.25">
      <c r="B30" s="461"/>
      <c r="C30" s="462"/>
      <c r="D30" s="17">
        <v>2018</v>
      </c>
      <c r="E30" s="25"/>
      <c r="F30" s="25" t="s">
        <v>17</v>
      </c>
      <c r="G30" s="25"/>
      <c r="H30" s="25">
        <v>1</v>
      </c>
      <c r="I30" s="452"/>
      <c r="J30" s="452"/>
    </row>
    <row r="31" spans="2:10" ht="15.75" customHeight="1" x14ac:dyDescent="0.25">
      <c r="B31" s="461"/>
      <c r="C31" s="462"/>
      <c r="D31" s="17">
        <v>2019</v>
      </c>
      <c r="E31" s="25"/>
      <c r="F31" s="25" t="s">
        <v>17</v>
      </c>
      <c r="G31" s="25"/>
      <c r="H31" s="25">
        <v>1</v>
      </c>
      <c r="I31" s="453"/>
      <c r="J31" s="453"/>
    </row>
    <row r="32" spans="2:10" ht="15.75" customHeight="1" x14ac:dyDescent="0.25">
      <c r="B32" s="461" t="s">
        <v>115</v>
      </c>
      <c r="C32" s="462" t="s">
        <v>116</v>
      </c>
      <c r="D32" s="17">
        <v>2017</v>
      </c>
      <c r="E32" s="25"/>
      <c r="F32" s="25"/>
      <c r="G32" s="25"/>
      <c r="H32" s="25">
        <v>0</v>
      </c>
      <c r="I32" s="448" t="s">
        <v>26</v>
      </c>
      <c r="J32" s="451" t="s">
        <v>26</v>
      </c>
    </row>
    <row r="33" spans="2:10" ht="15.75" customHeight="1" x14ac:dyDescent="0.25">
      <c r="B33" s="461"/>
      <c r="C33" s="462"/>
      <c r="D33" s="17">
        <v>2018</v>
      </c>
      <c r="E33" s="25"/>
      <c r="F33" s="25"/>
      <c r="G33" s="25"/>
      <c r="H33" s="25">
        <v>0</v>
      </c>
      <c r="I33" s="449"/>
      <c r="J33" s="452"/>
    </row>
    <row r="34" spans="2:10" ht="15.75" customHeight="1" x14ac:dyDescent="0.25">
      <c r="B34" s="461"/>
      <c r="C34" s="462"/>
      <c r="D34" s="17">
        <v>2019</v>
      </c>
      <c r="E34" s="25"/>
      <c r="F34" s="25"/>
      <c r="G34" s="25"/>
      <c r="H34" s="25">
        <v>0</v>
      </c>
      <c r="I34" s="450"/>
      <c r="J34" s="453"/>
    </row>
    <row r="35" spans="2:10" ht="15.75" customHeight="1" x14ac:dyDescent="0.25">
      <c r="B35" s="461" t="s">
        <v>119</v>
      </c>
      <c r="C35" s="462" t="s">
        <v>120</v>
      </c>
      <c r="D35" s="17">
        <v>2017</v>
      </c>
      <c r="E35" s="25"/>
      <c r="F35" s="25" t="s">
        <v>17</v>
      </c>
      <c r="G35" s="25"/>
      <c r="H35" s="25">
        <v>1</v>
      </c>
      <c r="I35" s="448" t="s">
        <v>886</v>
      </c>
      <c r="J35" s="451" t="s">
        <v>887</v>
      </c>
    </row>
    <row r="36" spans="2:10" ht="15.75" customHeight="1" x14ac:dyDescent="0.25">
      <c r="B36" s="461"/>
      <c r="C36" s="462"/>
      <c r="D36" s="17">
        <v>2018</v>
      </c>
      <c r="E36" s="25"/>
      <c r="F36" s="25" t="s">
        <v>17</v>
      </c>
      <c r="G36" s="25"/>
      <c r="H36" s="25">
        <v>1</v>
      </c>
      <c r="I36" s="449"/>
      <c r="J36" s="452"/>
    </row>
    <row r="37" spans="2:10" ht="15.75" customHeight="1" x14ac:dyDescent="0.25">
      <c r="B37" s="461"/>
      <c r="C37" s="462"/>
      <c r="D37" s="17">
        <v>2019</v>
      </c>
      <c r="E37" s="25"/>
      <c r="F37" s="25" t="s">
        <v>17</v>
      </c>
      <c r="G37" s="25"/>
      <c r="H37" s="25">
        <v>1</v>
      </c>
      <c r="I37" s="450"/>
      <c r="J37" s="453"/>
    </row>
    <row r="38" spans="2:10" ht="15.75" customHeight="1" x14ac:dyDescent="0.25">
      <c r="B38" s="458" t="s">
        <v>136</v>
      </c>
      <c r="C38" s="459" t="s">
        <v>137</v>
      </c>
      <c r="D38" s="32">
        <v>2017</v>
      </c>
      <c r="E38" s="28"/>
      <c r="F38" s="28"/>
      <c r="G38" s="28"/>
      <c r="H38" s="28">
        <v>0</v>
      </c>
      <c r="I38" s="424" t="s">
        <v>26</v>
      </c>
      <c r="J38" s="421" t="s">
        <v>26</v>
      </c>
    </row>
    <row r="39" spans="2:10" ht="15.75" customHeight="1" x14ac:dyDescent="0.25">
      <c r="B39" s="458"/>
      <c r="C39" s="459"/>
      <c r="D39" s="32">
        <v>2018</v>
      </c>
      <c r="E39" s="28"/>
      <c r="F39" s="28"/>
      <c r="G39" s="28"/>
      <c r="H39" s="28">
        <v>0</v>
      </c>
      <c r="I39" s="425"/>
      <c r="J39" s="422"/>
    </row>
    <row r="40" spans="2:10" ht="15.75" customHeight="1" x14ac:dyDescent="0.25">
      <c r="B40" s="458"/>
      <c r="C40" s="459"/>
      <c r="D40" s="32">
        <v>2019</v>
      </c>
      <c r="E40" s="28"/>
      <c r="F40" s="28"/>
      <c r="G40" s="28"/>
      <c r="H40" s="28">
        <v>0</v>
      </c>
      <c r="I40" s="426"/>
      <c r="J40" s="423"/>
    </row>
    <row r="41" spans="2:10" ht="15.75" customHeight="1" x14ac:dyDescent="0.25">
      <c r="B41" s="460" t="s">
        <v>142</v>
      </c>
      <c r="C41" s="460" t="s">
        <v>143</v>
      </c>
      <c r="D41" s="32">
        <v>2017</v>
      </c>
      <c r="E41" s="28"/>
      <c r="F41" s="28" t="s">
        <v>17</v>
      </c>
      <c r="G41" s="28"/>
      <c r="H41" s="28">
        <v>1</v>
      </c>
      <c r="I41" s="433" t="s">
        <v>889</v>
      </c>
      <c r="J41" s="433" t="s">
        <v>888</v>
      </c>
    </row>
    <row r="42" spans="2:10" ht="15.75" customHeight="1" x14ac:dyDescent="0.25">
      <c r="B42" s="460"/>
      <c r="C42" s="460"/>
      <c r="D42" s="32">
        <v>2018</v>
      </c>
      <c r="E42" s="28"/>
      <c r="F42" s="28" t="s">
        <v>17</v>
      </c>
      <c r="G42" s="28"/>
      <c r="H42" s="28">
        <v>1</v>
      </c>
      <c r="I42" s="434"/>
      <c r="J42" s="434"/>
    </row>
    <row r="43" spans="2:10" ht="15.75" customHeight="1" x14ac:dyDescent="0.25">
      <c r="B43" s="460"/>
      <c r="C43" s="460"/>
      <c r="D43" s="32">
        <v>2019</v>
      </c>
      <c r="E43" s="28"/>
      <c r="F43" s="28" t="s">
        <v>17</v>
      </c>
      <c r="G43" s="28"/>
      <c r="H43" s="28">
        <v>1</v>
      </c>
      <c r="I43" s="435"/>
      <c r="J43" s="434"/>
    </row>
    <row r="44" spans="2:10" ht="15.75" customHeight="1" x14ac:dyDescent="0.25">
      <c r="B44" s="458" t="s">
        <v>149</v>
      </c>
      <c r="C44" s="459" t="s">
        <v>150</v>
      </c>
      <c r="D44" s="32">
        <v>2017</v>
      </c>
      <c r="E44" s="28"/>
      <c r="F44" s="28"/>
      <c r="G44" s="28"/>
      <c r="H44" s="28">
        <v>1</v>
      </c>
      <c r="I44" s="436" t="s">
        <v>890</v>
      </c>
      <c r="J44" s="427" t="s">
        <v>891</v>
      </c>
    </row>
    <row r="45" spans="2:10" ht="15.75" customHeight="1" x14ac:dyDescent="0.25">
      <c r="B45" s="458"/>
      <c r="C45" s="459"/>
      <c r="D45" s="32">
        <v>2018</v>
      </c>
      <c r="E45" s="28"/>
      <c r="F45" s="28"/>
      <c r="G45" s="28"/>
      <c r="H45" s="28">
        <v>1</v>
      </c>
      <c r="I45" s="437"/>
      <c r="J45" s="428"/>
    </row>
    <row r="46" spans="2:10" ht="15.75" customHeight="1" x14ac:dyDescent="0.25">
      <c r="B46" s="458"/>
      <c r="C46" s="459"/>
      <c r="D46" s="32">
        <v>2019</v>
      </c>
      <c r="E46" s="28"/>
      <c r="F46" s="28"/>
      <c r="G46" s="28"/>
      <c r="H46" s="28">
        <v>1</v>
      </c>
      <c r="I46" s="438"/>
      <c r="J46" s="429"/>
    </row>
    <row r="47" spans="2:10" ht="15.75" customHeight="1" x14ac:dyDescent="0.25">
      <c r="B47" s="458" t="s">
        <v>154</v>
      </c>
      <c r="C47" s="459" t="s">
        <v>155</v>
      </c>
      <c r="D47" s="32">
        <v>2017</v>
      </c>
      <c r="E47" s="28"/>
      <c r="F47" s="28"/>
      <c r="G47" s="28"/>
      <c r="H47" s="28">
        <v>0</v>
      </c>
      <c r="I47" s="424" t="s">
        <v>26</v>
      </c>
      <c r="J47" s="421" t="s">
        <v>26</v>
      </c>
    </row>
    <row r="48" spans="2:10" ht="15.75" customHeight="1" x14ac:dyDescent="0.25">
      <c r="B48" s="458"/>
      <c r="C48" s="459"/>
      <c r="D48" s="32">
        <v>2018</v>
      </c>
      <c r="E48" s="28"/>
      <c r="F48" s="28"/>
      <c r="G48" s="28"/>
      <c r="H48" s="28">
        <v>0</v>
      </c>
      <c r="I48" s="425"/>
      <c r="J48" s="422"/>
    </row>
    <row r="49" spans="2:12" ht="15.75" customHeight="1" x14ac:dyDescent="0.25">
      <c r="B49" s="458"/>
      <c r="C49" s="459"/>
      <c r="D49" s="32">
        <v>2019</v>
      </c>
      <c r="E49" s="28"/>
      <c r="F49" s="28"/>
      <c r="G49" s="28"/>
      <c r="H49" s="28">
        <v>0</v>
      </c>
      <c r="I49" s="426"/>
      <c r="J49" s="423"/>
    </row>
    <row r="50" spans="2:12" ht="15.75" customHeight="1" x14ac:dyDescent="0.25">
      <c r="B50" s="458" t="s">
        <v>158</v>
      </c>
      <c r="C50" s="459" t="s">
        <v>159</v>
      </c>
      <c r="D50" s="32">
        <v>2017</v>
      </c>
      <c r="E50" s="28"/>
      <c r="F50" s="28" t="s">
        <v>17</v>
      </c>
      <c r="G50" s="28"/>
      <c r="H50" s="28">
        <v>1</v>
      </c>
      <c r="I50" s="421" t="s">
        <v>884</v>
      </c>
      <c r="J50" s="421" t="s">
        <v>885</v>
      </c>
    </row>
    <row r="51" spans="2:12" ht="15.75" customHeight="1" x14ac:dyDescent="0.25">
      <c r="B51" s="458"/>
      <c r="C51" s="459"/>
      <c r="D51" s="32">
        <v>2018</v>
      </c>
      <c r="E51" s="28"/>
      <c r="F51" s="28" t="s">
        <v>17</v>
      </c>
      <c r="G51" s="28"/>
      <c r="H51" s="28">
        <v>1</v>
      </c>
      <c r="I51" s="422"/>
      <c r="J51" s="422"/>
    </row>
    <row r="52" spans="2:12" ht="15.75" customHeight="1" x14ac:dyDescent="0.25">
      <c r="B52" s="458"/>
      <c r="C52" s="459"/>
      <c r="D52" s="32">
        <v>2019</v>
      </c>
      <c r="E52" s="28"/>
      <c r="F52" s="28" t="s">
        <v>17</v>
      </c>
      <c r="G52" s="28"/>
      <c r="H52" s="28">
        <v>1</v>
      </c>
      <c r="I52" s="423"/>
      <c r="J52" s="423"/>
    </row>
    <row r="53" spans="2:12" ht="15.75" customHeight="1" x14ac:dyDescent="0.25">
      <c r="B53" s="458" t="s">
        <v>176</v>
      </c>
      <c r="C53" s="459" t="s">
        <v>177</v>
      </c>
      <c r="D53" s="32">
        <v>2017</v>
      </c>
      <c r="E53" s="28"/>
      <c r="F53" s="28" t="s">
        <v>17</v>
      </c>
      <c r="G53" s="28"/>
      <c r="H53" s="28">
        <v>1</v>
      </c>
      <c r="I53" s="424" t="s">
        <v>892</v>
      </c>
      <c r="J53" s="441" t="s">
        <v>893</v>
      </c>
    </row>
    <row r="54" spans="2:12" ht="15.75" customHeight="1" x14ac:dyDescent="0.25">
      <c r="B54" s="458"/>
      <c r="C54" s="459"/>
      <c r="D54" s="32">
        <v>2018</v>
      </c>
      <c r="E54" s="28"/>
      <c r="F54" s="28" t="s">
        <v>17</v>
      </c>
      <c r="G54" s="28"/>
      <c r="H54" s="28">
        <v>1</v>
      </c>
      <c r="I54" s="425"/>
      <c r="J54" s="442"/>
      <c r="L54" s="1" t="s">
        <v>1044</v>
      </c>
    </row>
    <row r="55" spans="2:12" ht="15.75" customHeight="1" x14ac:dyDescent="0.25">
      <c r="B55" s="458"/>
      <c r="C55" s="459"/>
      <c r="D55" s="32">
        <v>2019</v>
      </c>
      <c r="E55" s="28"/>
      <c r="F55" s="28" t="s">
        <v>17</v>
      </c>
      <c r="G55" s="28"/>
      <c r="H55" s="28">
        <v>1</v>
      </c>
      <c r="I55" s="426"/>
      <c r="J55" s="443"/>
    </row>
    <row r="56" spans="2:12" ht="15.75" customHeight="1" x14ac:dyDescent="0.25">
      <c r="B56" s="421" t="s">
        <v>167</v>
      </c>
      <c r="C56" s="421" t="s">
        <v>168</v>
      </c>
      <c r="D56" s="28">
        <v>2017</v>
      </c>
      <c r="E56" s="28"/>
      <c r="F56" s="28"/>
      <c r="G56" s="28"/>
      <c r="H56" s="28">
        <v>0</v>
      </c>
      <c r="I56" s="424" t="s">
        <v>26</v>
      </c>
      <c r="J56" s="421" t="s">
        <v>26</v>
      </c>
    </row>
    <row r="57" spans="2:12" ht="15.75" customHeight="1" x14ac:dyDescent="0.25">
      <c r="B57" s="422"/>
      <c r="C57" s="422"/>
      <c r="D57" s="28">
        <v>2018</v>
      </c>
      <c r="E57" s="28"/>
      <c r="F57" s="28"/>
      <c r="G57" s="28"/>
      <c r="H57" s="28">
        <v>0</v>
      </c>
      <c r="I57" s="425"/>
      <c r="J57" s="422"/>
    </row>
    <row r="58" spans="2:12" ht="15.75" customHeight="1" x14ac:dyDescent="0.25">
      <c r="B58" s="423"/>
      <c r="C58" s="423"/>
      <c r="D58" s="28">
        <v>2019</v>
      </c>
      <c r="E58" s="28"/>
      <c r="F58" s="28"/>
      <c r="G58" s="28"/>
      <c r="H58" s="28">
        <v>0</v>
      </c>
      <c r="I58" s="426"/>
      <c r="J58" s="423"/>
    </row>
    <row r="59" spans="2:12" ht="15.75" customHeight="1" x14ac:dyDescent="0.25">
      <c r="B59" s="458" t="s">
        <v>181</v>
      </c>
      <c r="C59" s="459" t="s">
        <v>182</v>
      </c>
      <c r="D59" s="32">
        <v>2017</v>
      </c>
      <c r="E59" s="28"/>
      <c r="F59" s="28"/>
      <c r="G59" s="28"/>
      <c r="H59" s="28">
        <v>0</v>
      </c>
      <c r="I59" s="424" t="s">
        <v>26</v>
      </c>
      <c r="J59" s="421" t="s">
        <v>26</v>
      </c>
    </row>
    <row r="60" spans="2:12" ht="15.75" customHeight="1" x14ac:dyDescent="0.25">
      <c r="B60" s="458"/>
      <c r="C60" s="459"/>
      <c r="D60" s="32">
        <v>2018</v>
      </c>
      <c r="E60" s="28"/>
      <c r="F60" s="28"/>
      <c r="G60" s="28"/>
      <c r="H60" s="28">
        <v>0</v>
      </c>
      <c r="I60" s="425"/>
      <c r="J60" s="422"/>
    </row>
    <row r="61" spans="2:12" ht="15.75" customHeight="1" x14ac:dyDescent="0.25">
      <c r="B61" s="458"/>
      <c r="C61" s="459"/>
      <c r="D61" s="32">
        <v>2019</v>
      </c>
      <c r="E61" s="28"/>
      <c r="F61" s="28"/>
      <c r="G61" s="28"/>
      <c r="H61" s="28">
        <v>0</v>
      </c>
      <c r="I61" s="426"/>
      <c r="J61" s="423"/>
    </row>
    <row r="62" spans="2:12" ht="15.75" customHeight="1" x14ac:dyDescent="0.25">
      <c r="B62" s="458" t="s">
        <v>184</v>
      </c>
      <c r="C62" s="459" t="s">
        <v>185</v>
      </c>
      <c r="D62" s="32">
        <v>2017</v>
      </c>
      <c r="E62" s="28"/>
      <c r="F62" s="28" t="s">
        <v>17</v>
      </c>
      <c r="G62" s="28"/>
      <c r="H62" s="28">
        <v>1</v>
      </c>
      <c r="I62" s="447" t="s">
        <v>895</v>
      </c>
      <c r="J62" s="444" t="s">
        <v>894</v>
      </c>
    </row>
    <row r="63" spans="2:12" ht="15.75" customHeight="1" x14ac:dyDescent="0.25">
      <c r="B63" s="458"/>
      <c r="C63" s="459"/>
      <c r="D63" s="32">
        <v>2018</v>
      </c>
      <c r="E63" s="28"/>
      <c r="F63" s="28" t="s">
        <v>17</v>
      </c>
      <c r="G63" s="28"/>
      <c r="H63" s="28">
        <v>1</v>
      </c>
      <c r="I63" s="428"/>
      <c r="J63" s="445"/>
    </row>
    <row r="64" spans="2:12" ht="15.75" customHeight="1" x14ac:dyDescent="0.25">
      <c r="B64" s="458"/>
      <c r="C64" s="459"/>
      <c r="D64" s="32">
        <v>2019</v>
      </c>
      <c r="E64" s="28"/>
      <c r="F64" s="28" t="s">
        <v>17</v>
      </c>
      <c r="G64" s="28"/>
      <c r="H64" s="28">
        <v>1</v>
      </c>
      <c r="I64" s="429"/>
      <c r="J64" s="446"/>
    </row>
    <row r="65" spans="2:10" ht="15.75" customHeight="1" x14ac:dyDescent="0.25">
      <c r="B65" s="458" t="s">
        <v>188</v>
      </c>
      <c r="C65" s="459" t="s">
        <v>189</v>
      </c>
      <c r="D65" s="32">
        <v>2017</v>
      </c>
      <c r="E65" s="28"/>
      <c r="F65" s="28"/>
      <c r="G65" s="28"/>
      <c r="H65" s="28">
        <v>0</v>
      </c>
      <c r="I65" s="424" t="s">
        <v>26</v>
      </c>
      <c r="J65" s="421" t="s">
        <v>26</v>
      </c>
    </row>
    <row r="66" spans="2:10" ht="15.75" customHeight="1" x14ac:dyDescent="0.25">
      <c r="B66" s="458"/>
      <c r="C66" s="459"/>
      <c r="D66" s="32">
        <v>2018</v>
      </c>
      <c r="E66" s="28"/>
      <c r="F66" s="28"/>
      <c r="G66" s="28"/>
      <c r="H66" s="28">
        <v>0</v>
      </c>
      <c r="I66" s="425"/>
      <c r="J66" s="422"/>
    </row>
    <row r="67" spans="2:10" ht="15.75" customHeight="1" x14ac:dyDescent="0.25">
      <c r="B67" s="458"/>
      <c r="C67" s="459"/>
      <c r="D67" s="32">
        <v>2019</v>
      </c>
      <c r="E67" s="28"/>
      <c r="F67" s="28"/>
      <c r="G67" s="28"/>
      <c r="H67" s="28">
        <v>0</v>
      </c>
      <c r="I67" s="426"/>
      <c r="J67" s="423"/>
    </row>
    <row r="68" spans="2:10" ht="15.75" customHeight="1" x14ac:dyDescent="0.25">
      <c r="B68" s="458" t="s">
        <v>190</v>
      </c>
      <c r="C68" s="459" t="s">
        <v>191</v>
      </c>
      <c r="D68" s="32">
        <v>2017</v>
      </c>
      <c r="E68" s="28"/>
      <c r="F68" s="28" t="s">
        <v>17</v>
      </c>
      <c r="G68" s="28"/>
      <c r="H68" s="28">
        <v>1</v>
      </c>
      <c r="I68" s="424" t="s">
        <v>897</v>
      </c>
      <c r="J68" s="421" t="s">
        <v>896</v>
      </c>
    </row>
    <row r="69" spans="2:10" ht="15.75" customHeight="1" x14ac:dyDescent="0.25">
      <c r="B69" s="458"/>
      <c r="C69" s="459"/>
      <c r="D69" s="32">
        <v>2018</v>
      </c>
      <c r="E69" s="28"/>
      <c r="F69" s="28" t="s">
        <v>17</v>
      </c>
      <c r="G69" s="28"/>
      <c r="H69" s="28">
        <v>1</v>
      </c>
      <c r="I69" s="425"/>
      <c r="J69" s="422"/>
    </row>
    <row r="70" spans="2:10" ht="15.75" customHeight="1" x14ac:dyDescent="0.25">
      <c r="B70" s="458"/>
      <c r="C70" s="459"/>
      <c r="D70" s="32">
        <v>2019</v>
      </c>
      <c r="E70" s="28"/>
      <c r="F70" s="28" t="s">
        <v>17</v>
      </c>
      <c r="G70" s="28"/>
      <c r="H70" s="28">
        <v>1</v>
      </c>
      <c r="I70" s="426"/>
      <c r="J70" s="423"/>
    </row>
    <row r="71" spans="2:10" ht="15.75" customHeight="1" x14ac:dyDescent="0.25">
      <c r="B71" s="458" t="s">
        <v>193</v>
      </c>
      <c r="C71" s="459" t="s">
        <v>194</v>
      </c>
      <c r="D71" s="32">
        <v>2017</v>
      </c>
      <c r="E71" s="28"/>
      <c r="F71" s="28" t="s">
        <v>17</v>
      </c>
      <c r="G71" s="28"/>
      <c r="H71" s="28">
        <v>1</v>
      </c>
      <c r="I71" s="424" t="s">
        <v>898</v>
      </c>
      <c r="J71" s="421" t="s">
        <v>899</v>
      </c>
    </row>
    <row r="72" spans="2:10" ht="15.75" customHeight="1" x14ac:dyDescent="0.25">
      <c r="B72" s="458"/>
      <c r="C72" s="459"/>
      <c r="D72" s="32">
        <v>2018</v>
      </c>
      <c r="E72" s="28"/>
      <c r="F72" s="28" t="s">
        <v>17</v>
      </c>
      <c r="G72" s="28"/>
      <c r="H72" s="28">
        <v>1</v>
      </c>
      <c r="I72" s="425"/>
      <c r="J72" s="422"/>
    </row>
    <row r="73" spans="2:10" ht="15.75" customHeight="1" x14ac:dyDescent="0.25">
      <c r="B73" s="458"/>
      <c r="C73" s="459"/>
      <c r="D73" s="32">
        <v>2019</v>
      </c>
      <c r="E73" s="28"/>
      <c r="F73" s="28" t="s">
        <v>17</v>
      </c>
      <c r="G73" s="28"/>
      <c r="H73" s="28">
        <v>1</v>
      </c>
      <c r="I73" s="426"/>
      <c r="J73" s="423"/>
    </row>
    <row r="74" spans="2:10" ht="15.75" customHeight="1" x14ac:dyDescent="0.25">
      <c r="B74" s="458" t="s">
        <v>196</v>
      </c>
      <c r="C74" s="459" t="s">
        <v>197</v>
      </c>
      <c r="D74" s="32">
        <v>2017</v>
      </c>
      <c r="E74" s="28" t="s">
        <v>17</v>
      </c>
      <c r="F74" s="28"/>
      <c r="G74" s="28"/>
      <c r="H74" s="28">
        <v>1</v>
      </c>
      <c r="I74" s="421" t="s">
        <v>900</v>
      </c>
      <c r="J74" s="421" t="s">
        <v>901</v>
      </c>
    </row>
    <row r="75" spans="2:10" ht="15.75" customHeight="1" x14ac:dyDescent="0.25">
      <c r="B75" s="458"/>
      <c r="C75" s="459"/>
      <c r="D75" s="32">
        <v>2018</v>
      </c>
      <c r="E75" s="28" t="s">
        <v>17</v>
      </c>
      <c r="F75" s="28"/>
      <c r="G75" s="28"/>
      <c r="H75" s="28">
        <v>1</v>
      </c>
      <c r="I75" s="422"/>
      <c r="J75" s="422"/>
    </row>
    <row r="76" spans="2:10" ht="15.75" customHeight="1" x14ac:dyDescent="0.25">
      <c r="B76" s="458"/>
      <c r="C76" s="459"/>
      <c r="D76" s="32">
        <v>2019</v>
      </c>
      <c r="E76" s="28" t="s">
        <v>17</v>
      </c>
      <c r="F76" s="28"/>
      <c r="G76" s="28"/>
      <c r="H76" s="28">
        <v>1</v>
      </c>
      <c r="I76" s="423"/>
      <c r="J76" s="423"/>
    </row>
    <row r="77" spans="2:10" ht="15.75" customHeight="1" x14ac:dyDescent="0.25">
      <c r="B77" s="458" t="s">
        <v>199</v>
      </c>
      <c r="C77" s="459" t="s">
        <v>200</v>
      </c>
      <c r="D77" s="32">
        <v>2017</v>
      </c>
      <c r="E77" s="28"/>
      <c r="F77" s="28"/>
      <c r="G77" s="28"/>
      <c r="H77" s="28">
        <v>0</v>
      </c>
      <c r="I77" s="424" t="s">
        <v>26</v>
      </c>
      <c r="J77" s="421" t="s">
        <v>26</v>
      </c>
    </row>
    <row r="78" spans="2:10" ht="15.75" customHeight="1" x14ac:dyDescent="0.25">
      <c r="B78" s="458"/>
      <c r="C78" s="459"/>
      <c r="D78" s="32">
        <v>2018</v>
      </c>
      <c r="E78" s="28"/>
      <c r="F78" s="28"/>
      <c r="G78" s="28"/>
      <c r="H78" s="28">
        <v>0</v>
      </c>
      <c r="I78" s="425"/>
      <c r="J78" s="422"/>
    </row>
    <row r="79" spans="2:10" ht="15.75" customHeight="1" x14ac:dyDescent="0.25">
      <c r="B79" s="458"/>
      <c r="C79" s="459"/>
      <c r="D79" s="32">
        <v>2019</v>
      </c>
      <c r="E79" s="28"/>
      <c r="F79" s="28"/>
      <c r="G79" s="28"/>
      <c r="H79" s="28">
        <v>0</v>
      </c>
      <c r="I79" s="426"/>
      <c r="J79" s="423"/>
    </row>
    <row r="80" spans="2:10" ht="15.75" customHeight="1" x14ac:dyDescent="0.25">
      <c r="B80" s="458" t="s">
        <v>205</v>
      </c>
      <c r="C80" s="459" t="s">
        <v>206</v>
      </c>
      <c r="D80" s="32">
        <v>2017</v>
      </c>
      <c r="E80" s="28"/>
      <c r="F80" s="28" t="s">
        <v>17</v>
      </c>
      <c r="G80" s="28"/>
      <c r="H80" s="28">
        <v>1</v>
      </c>
      <c r="I80" s="424" t="s">
        <v>902</v>
      </c>
      <c r="J80" s="421" t="s">
        <v>903</v>
      </c>
    </row>
    <row r="81" spans="2:10" ht="15.75" customHeight="1" x14ac:dyDescent="0.25">
      <c r="B81" s="458"/>
      <c r="C81" s="459"/>
      <c r="D81" s="32">
        <v>2018</v>
      </c>
      <c r="E81" s="28"/>
      <c r="F81" s="28" t="s">
        <v>17</v>
      </c>
      <c r="G81" s="28"/>
      <c r="H81" s="28">
        <v>1</v>
      </c>
      <c r="I81" s="425"/>
      <c r="J81" s="422"/>
    </row>
    <row r="82" spans="2:10" ht="15.75" customHeight="1" x14ac:dyDescent="0.25">
      <c r="B82" s="458"/>
      <c r="C82" s="459"/>
      <c r="D82" s="32">
        <v>2019</v>
      </c>
      <c r="E82" s="28"/>
      <c r="F82" s="28" t="s">
        <v>17</v>
      </c>
      <c r="G82" s="28"/>
      <c r="H82" s="28">
        <v>1</v>
      </c>
      <c r="I82" s="426"/>
      <c r="J82" s="423"/>
    </row>
    <row r="83" spans="2:10" ht="15.75" customHeight="1" x14ac:dyDescent="0.25">
      <c r="B83" s="458" t="s">
        <v>208</v>
      </c>
      <c r="C83" s="459" t="s">
        <v>209</v>
      </c>
      <c r="D83" s="32">
        <v>2017</v>
      </c>
      <c r="E83" s="28" t="s">
        <v>17</v>
      </c>
      <c r="F83" s="28"/>
      <c r="G83" s="28"/>
      <c r="H83" s="28">
        <v>1</v>
      </c>
      <c r="I83" s="421" t="s">
        <v>904</v>
      </c>
      <c r="J83" s="421" t="s">
        <v>905</v>
      </c>
    </row>
    <row r="84" spans="2:10" ht="15.75" customHeight="1" x14ac:dyDescent="0.25">
      <c r="B84" s="458"/>
      <c r="C84" s="459"/>
      <c r="D84" s="32">
        <v>2018</v>
      </c>
      <c r="E84" s="28" t="s">
        <v>17</v>
      </c>
      <c r="F84" s="28"/>
      <c r="G84" s="28"/>
      <c r="H84" s="28">
        <v>1</v>
      </c>
      <c r="I84" s="422"/>
      <c r="J84" s="422"/>
    </row>
    <row r="85" spans="2:10" ht="15.75" customHeight="1" x14ac:dyDescent="0.25">
      <c r="B85" s="458"/>
      <c r="C85" s="459"/>
      <c r="D85" s="32">
        <v>2019</v>
      </c>
      <c r="E85" s="28" t="s">
        <v>17</v>
      </c>
      <c r="F85" s="28"/>
      <c r="G85" s="28"/>
      <c r="H85" s="28">
        <v>1</v>
      </c>
      <c r="I85" s="423"/>
      <c r="J85" s="423"/>
    </row>
    <row r="86" spans="2:10" ht="15.75" customHeight="1" x14ac:dyDescent="0.25">
      <c r="B86" s="458" t="s">
        <v>210</v>
      </c>
      <c r="C86" s="459" t="s">
        <v>211</v>
      </c>
      <c r="D86" s="32">
        <v>2017</v>
      </c>
      <c r="E86" s="28"/>
      <c r="F86" s="28"/>
      <c r="G86" s="28"/>
      <c r="H86" s="28">
        <v>0</v>
      </c>
      <c r="I86" s="424" t="s">
        <v>26</v>
      </c>
      <c r="J86" s="421" t="s">
        <v>26</v>
      </c>
    </row>
    <row r="87" spans="2:10" ht="15.75" customHeight="1" x14ac:dyDescent="0.25">
      <c r="B87" s="458"/>
      <c r="C87" s="459"/>
      <c r="D87" s="32">
        <v>2018</v>
      </c>
      <c r="E87" s="28"/>
      <c r="F87" s="28"/>
      <c r="G87" s="28"/>
      <c r="H87" s="28">
        <v>0</v>
      </c>
      <c r="I87" s="425"/>
      <c r="J87" s="422"/>
    </row>
    <row r="88" spans="2:10" ht="15.75" customHeight="1" x14ac:dyDescent="0.25">
      <c r="B88" s="458"/>
      <c r="C88" s="459"/>
      <c r="D88" s="32">
        <v>2019</v>
      </c>
      <c r="E88" s="28"/>
      <c r="F88" s="28"/>
      <c r="G88" s="28"/>
      <c r="H88" s="28">
        <v>0</v>
      </c>
      <c r="I88" s="426"/>
      <c r="J88" s="423"/>
    </row>
    <row r="89" spans="2:10" ht="15.75" customHeight="1" x14ac:dyDescent="0.25">
      <c r="B89" s="458" t="s">
        <v>212</v>
      </c>
      <c r="C89" s="459" t="s">
        <v>213</v>
      </c>
      <c r="D89" s="32">
        <v>2017</v>
      </c>
      <c r="E89" s="28"/>
      <c r="F89" s="28"/>
      <c r="G89" s="28"/>
      <c r="H89" s="28">
        <v>0</v>
      </c>
      <c r="I89" s="424" t="s">
        <v>26</v>
      </c>
      <c r="J89" s="421" t="s">
        <v>26</v>
      </c>
    </row>
    <row r="90" spans="2:10" ht="15.75" customHeight="1" x14ac:dyDescent="0.25">
      <c r="B90" s="458"/>
      <c r="C90" s="459"/>
      <c r="D90" s="32">
        <v>2018</v>
      </c>
      <c r="E90" s="28"/>
      <c r="F90" s="28"/>
      <c r="G90" s="28"/>
      <c r="H90" s="28">
        <v>0</v>
      </c>
      <c r="I90" s="425"/>
      <c r="J90" s="422"/>
    </row>
    <row r="91" spans="2:10" ht="15.75" customHeight="1" x14ac:dyDescent="0.25">
      <c r="B91" s="430"/>
      <c r="C91" s="427"/>
      <c r="D91" s="33">
        <v>2019</v>
      </c>
      <c r="E91" s="220"/>
      <c r="F91" s="220"/>
      <c r="G91" s="220"/>
      <c r="H91" s="28">
        <v>0</v>
      </c>
      <c r="I91" s="426"/>
      <c r="J91" s="423"/>
    </row>
    <row r="92" spans="2:10" ht="15.75" customHeight="1" x14ac:dyDescent="0.25">
      <c r="B92" s="458" t="s">
        <v>215</v>
      </c>
      <c r="C92" s="459" t="s">
        <v>216</v>
      </c>
      <c r="D92" s="219">
        <v>2017</v>
      </c>
      <c r="E92" s="219"/>
      <c r="F92" s="219"/>
      <c r="G92" s="219"/>
      <c r="H92" s="28">
        <v>0</v>
      </c>
      <c r="I92" s="424" t="s">
        <v>26</v>
      </c>
      <c r="J92" s="421" t="s">
        <v>26</v>
      </c>
    </row>
    <row r="93" spans="2:10" ht="15.75" customHeight="1" x14ac:dyDescent="0.25">
      <c r="B93" s="458"/>
      <c r="C93" s="459"/>
      <c r="D93" s="219">
        <v>2018</v>
      </c>
      <c r="E93" s="219"/>
      <c r="F93" s="219"/>
      <c r="G93" s="219"/>
      <c r="H93" s="28">
        <v>0</v>
      </c>
      <c r="I93" s="425"/>
      <c r="J93" s="422"/>
    </row>
    <row r="94" spans="2:10" ht="15.75" customHeight="1" x14ac:dyDescent="0.25">
      <c r="B94" s="458"/>
      <c r="C94" s="459"/>
      <c r="D94" s="219">
        <v>2019</v>
      </c>
      <c r="E94" s="219"/>
      <c r="F94" s="219"/>
      <c r="G94" s="219"/>
      <c r="H94" s="28">
        <v>0</v>
      </c>
      <c r="I94" s="426"/>
      <c r="J94" s="423"/>
    </row>
    <row r="95" spans="2:10" ht="15.75" customHeight="1" x14ac:dyDescent="0.25">
      <c r="B95" s="458" t="s">
        <v>219</v>
      </c>
      <c r="C95" s="459" t="s">
        <v>220</v>
      </c>
      <c r="D95" s="219">
        <v>2017</v>
      </c>
      <c r="E95" s="219"/>
      <c r="F95" s="28" t="s">
        <v>17</v>
      </c>
      <c r="G95" s="219"/>
      <c r="H95" s="28">
        <v>1</v>
      </c>
      <c r="I95" s="234" t="s">
        <v>906</v>
      </c>
      <c r="J95" s="235" t="s">
        <v>910</v>
      </c>
    </row>
    <row r="96" spans="2:10" ht="15.75" customHeight="1" x14ac:dyDescent="0.25">
      <c r="B96" s="458"/>
      <c r="C96" s="459"/>
      <c r="D96" s="219">
        <v>2018</v>
      </c>
      <c r="E96" s="219"/>
      <c r="F96" s="28" t="s">
        <v>17</v>
      </c>
      <c r="G96" s="219"/>
      <c r="H96" s="28">
        <v>1</v>
      </c>
      <c r="I96" s="234" t="s">
        <v>907</v>
      </c>
      <c r="J96" s="235" t="s">
        <v>909</v>
      </c>
    </row>
    <row r="97" spans="2:10" ht="15.75" customHeight="1" x14ac:dyDescent="0.25">
      <c r="B97" s="458"/>
      <c r="C97" s="459"/>
      <c r="D97" s="219">
        <v>2019</v>
      </c>
      <c r="E97" s="219"/>
      <c r="F97" s="28" t="s">
        <v>17</v>
      </c>
      <c r="G97" s="219"/>
      <c r="H97" s="28">
        <v>1</v>
      </c>
      <c r="I97" s="234" t="s">
        <v>908</v>
      </c>
      <c r="J97" s="235" t="s">
        <v>911</v>
      </c>
    </row>
    <row r="98" spans="2:10" ht="15.75" customHeight="1" x14ac:dyDescent="0.25">
      <c r="B98" s="458" t="s">
        <v>223</v>
      </c>
      <c r="C98" s="459" t="s">
        <v>224</v>
      </c>
      <c r="D98" s="219">
        <v>2017</v>
      </c>
      <c r="E98" s="28" t="s">
        <v>17</v>
      </c>
      <c r="F98" s="219"/>
      <c r="G98" s="219"/>
      <c r="H98" s="28">
        <v>1</v>
      </c>
      <c r="I98" s="430" t="s">
        <v>913</v>
      </c>
      <c r="J98" s="427" t="s">
        <v>912</v>
      </c>
    </row>
    <row r="99" spans="2:10" ht="15.75" customHeight="1" x14ac:dyDescent="0.25">
      <c r="B99" s="458"/>
      <c r="C99" s="459"/>
      <c r="D99" s="219">
        <v>2018</v>
      </c>
      <c r="E99" s="28" t="s">
        <v>17</v>
      </c>
      <c r="F99" s="219"/>
      <c r="G99" s="219"/>
      <c r="H99" s="28">
        <v>1</v>
      </c>
      <c r="I99" s="431"/>
      <c r="J99" s="428"/>
    </row>
    <row r="100" spans="2:10" ht="15.75" customHeight="1" x14ac:dyDescent="0.25">
      <c r="B100" s="458"/>
      <c r="C100" s="459"/>
      <c r="D100" s="219">
        <v>2019</v>
      </c>
      <c r="E100" s="28" t="s">
        <v>17</v>
      </c>
      <c r="F100" s="219"/>
      <c r="G100" s="219"/>
      <c r="H100" s="28">
        <v>1</v>
      </c>
      <c r="I100" s="432"/>
      <c r="J100" s="429"/>
    </row>
    <row r="101" spans="2:10" s="58" customFormat="1" ht="15.75" customHeight="1" x14ac:dyDescent="0.25">
      <c r="B101" s="414" t="s">
        <v>236</v>
      </c>
      <c r="C101" s="481" t="s">
        <v>237</v>
      </c>
      <c r="D101" s="236">
        <v>2017</v>
      </c>
      <c r="E101" s="236"/>
      <c r="F101" s="236" t="s">
        <v>17</v>
      </c>
      <c r="G101" s="236"/>
      <c r="H101" s="66">
        <v>1</v>
      </c>
      <c r="I101" s="406" t="s">
        <v>915</v>
      </c>
      <c r="J101" s="418" t="s">
        <v>914</v>
      </c>
    </row>
    <row r="102" spans="2:10" s="58" customFormat="1" ht="15.75" customHeight="1" x14ac:dyDescent="0.25">
      <c r="B102" s="414"/>
      <c r="C102" s="481"/>
      <c r="D102" s="236">
        <v>2018</v>
      </c>
      <c r="E102" s="236"/>
      <c r="F102" s="236" t="s">
        <v>17</v>
      </c>
      <c r="G102" s="236"/>
      <c r="H102" s="66">
        <v>1</v>
      </c>
      <c r="I102" s="407"/>
      <c r="J102" s="419"/>
    </row>
    <row r="103" spans="2:10" s="58" customFormat="1" ht="15.75" customHeight="1" x14ac:dyDescent="0.25">
      <c r="B103" s="414"/>
      <c r="C103" s="481"/>
      <c r="D103" s="236">
        <v>2019</v>
      </c>
      <c r="E103" s="236"/>
      <c r="F103" s="236" t="s">
        <v>17</v>
      </c>
      <c r="G103" s="236"/>
      <c r="H103" s="66">
        <v>1</v>
      </c>
      <c r="I103" s="408"/>
      <c r="J103" s="420"/>
    </row>
    <row r="104" spans="2:10" s="58" customFormat="1" ht="15.75" customHeight="1" x14ac:dyDescent="0.25">
      <c r="B104" s="414" t="s">
        <v>241</v>
      </c>
      <c r="C104" s="481" t="s">
        <v>242</v>
      </c>
      <c r="D104" s="236">
        <v>2017</v>
      </c>
      <c r="E104" s="236"/>
      <c r="F104" s="236"/>
      <c r="G104" s="236"/>
      <c r="H104" s="236">
        <v>0</v>
      </c>
      <c r="I104" s="406" t="s">
        <v>26</v>
      </c>
      <c r="J104" s="409" t="s">
        <v>26</v>
      </c>
    </row>
    <row r="105" spans="2:10" s="58" customFormat="1" ht="15.75" customHeight="1" x14ac:dyDescent="0.25">
      <c r="B105" s="414"/>
      <c r="C105" s="481"/>
      <c r="D105" s="236">
        <v>2018</v>
      </c>
      <c r="E105" s="236"/>
      <c r="F105" s="236"/>
      <c r="G105" s="236"/>
      <c r="H105" s="236">
        <v>0</v>
      </c>
      <c r="I105" s="407"/>
      <c r="J105" s="410"/>
    </row>
    <row r="106" spans="2:10" s="58" customFormat="1" ht="15.75" customHeight="1" x14ac:dyDescent="0.25">
      <c r="B106" s="414"/>
      <c r="C106" s="481"/>
      <c r="D106" s="236">
        <v>2019</v>
      </c>
      <c r="E106" s="236"/>
      <c r="F106" s="236"/>
      <c r="G106" s="236"/>
      <c r="H106" s="236">
        <v>0</v>
      </c>
      <c r="I106" s="408"/>
      <c r="J106" s="411"/>
    </row>
    <row r="107" spans="2:10" s="58" customFormat="1" ht="15.75" customHeight="1" x14ac:dyDescent="0.25">
      <c r="B107" s="414" t="s">
        <v>247</v>
      </c>
      <c r="C107" s="481" t="s">
        <v>248</v>
      </c>
      <c r="D107" s="236">
        <v>2017</v>
      </c>
      <c r="E107" s="236"/>
      <c r="F107" s="236" t="s">
        <v>17</v>
      </c>
      <c r="G107" s="236"/>
      <c r="H107" s="66">
        <v>1</v>
      </c>
      <c r="I107" s="406" t="s">
        <v>916</v>
      </c>
      <c r="J107" s="409" t="s">
        <v>917</v>
      </c>
    </row>
    <row r="108" spans="2:10" s="58" customFormat="1" ht="15.75" customHeight="1" x14ac:dyDescent="0.25">
      <c r="B108" s="414"/>
      <c r="C108" s="481"/>
      <c r="D108" s="236">
        <v>2018</v>
      </c>
      <c r="E108" s="236"/>
      <c r="F108" s="236" t="s">
        <v>17</v>
      </c>
      <c r="G108" s="236"/>
      <c r="H108" s="66">
        <v>1</v>
      </c>
      <c r="I108" s="407"/>
      <c r="J108" s="410"/>
    </row>
    <row r="109" spans="2:10" s="58" customFormat="1" ht="15.75" customHeight="1" x14ac:dyDescent="0.25">
      <c r="B109" s="414"/>
      <c r="C109" s="481"/>
      <c r="D109" s="236">
        <v>2019</v>
      </c>
      <c r="E109" s="236"/>
      <c r="F109" s="236"/>
      <c r="G109" s="236"/>
      <c r="H109" s="236">
        <v>0</v>
      </c>
      <c r="I109" s="408"/>
      <c r="J109" s="411"/>
    </row>
    <row r="110" spans="2:10" s="58" customFormat="1" ht="15.75" customHeight="1" x14ac:dyDescent="0.25">
      <c r="B110" s="414" t="s">
        <v>250</v>
      </c>
      <c r="C110" s="481" t="s">
        <v>251</v>
      </c>
      <c r="D110" s="236">
        <v>2017</v>
      </c>
      <c r="E110" s="236"/>
      <c r="F110" s="236"/>
      <c r="G110" s="236"/>
      <c r="H110" s="236">
        <v>0</v>
      </c>
      <c r="I110" s="406" t="s">
        <v>26</v>
      </c>
      <c r="J110" s="409" t="s">
        <v>26</v>
      </c>
    </row>
    <row r="111" spans="2:10" s="58" customFormat="1" ht="15.75" customHeight="1" x14ac:dyDescent="0.25">
      <c r="B111" s="414"/>
      <c r="C111" s="481"/>
      <c r="D111" s="236">
        <v>2018</v>
      </c>
      <c r="E111" s="236"/>
      <c r="F111" s="236"/>
      <c r="G111" s="236"/>
      <c r="H111" s="236">
        <v>0</v>
      </c>
      <c r="I111" s="407"/>
      <c r="J111" s="410"/>
    </row>
    <row r="112" spans="2:10" s="58" customFormat="1" ht="15.75" customHeight="1" x14ac:dyDescent="0.25">
      <c r="B112" s="414"/>
      <c r="C112" s="481"/>
      <c r="D112" s="236">
        <v>2019</v>
      </c>
      <c r="E112" s="236"/>
      <c r="F112" s="236"/>
      <c r="G112" s="236"/>
      <c r="H112" s="236">
        <v>0</v>
      </c>
      <c r="I112" s="408"/>
      <c r="J112" s="411"/>
    </row>
    <row r="113" spans="2:10" s="58" customFormat="1" ht="15.75" customHeight="1" x14ac:dyDescent="0.25">
      <c r="B113" s="414" t="s">
        <v>256</v>
      </c>
      <c r="C113" s="481" t="s">
        <v>257</v>
      </c>
      <c r="D113" s="236">
        <v>2017</v>
      </c>
      <c r="E113" s="236"/>
      <c r="F113" s="236" t="s">
        <v>17</v>
      </c>
      <c r="G113" s="236"/>
      <c r="H113" s="66">
        <v>1</v>
      </c>
      <c r="I113" s="406" t="s">
        <v>918</v>
      </c>
      <c r="J113" s="409" t="s">
        <v>919</v>
      </c>
    </row>
    <row r="114" spans="2:10" s="58" customFormat="1" ht="15.75" customHeight="1" x14ac:dyDescent="0.25">
      <c r="B114" s="414"/>
      <c r="C114" s="481"/>
      <c r="D114" s="236">
        <v>2018</v>
      </c>
      <c r="E114" s="236"/>
      <c r="F114" s="236" t="s">
        <v>17</v>
      </c>
      <c r="G114" s="236"/>
      <c r="H114" s="66">
        <v>1</v>
      </c>
      <c r="I114" s="407"/>
      <c r="J114" s="410"/>
    </row>
    <row r="115" spans="2:10" s="58" customFormat="1" ht="15.75" customHeight="1" x14ac:dyDescent="0.25">
      <c r="B115" s="414"/>
      <c r="C115" s="481"/>
      <c r="D115" s="236">
        <v>2019</v>
      </c>
      <c r="E115" s="236"/>
      <c r="F115" s="236" t="s">
        <v>17</v>
      </c>
      <c r="G115" s="236"/>
      <c r="H115" s="66">
        <v>1</v>
      </c>
      <c r="I115" s="408"/>
      <c r="J115" s="411"/>
    </row>
    <row r="116" spans="2:10" s="58" customFormat="1" ht="15.75" customHeight="1" x14ac:dyDescent="0.25">
      <c r="B116" s="414" t="s">
        <v>264</v>
      </c>
      <c r="C116" s="481" t="s">
        <v>265</v>
      </c>
      <c r="D116" s="236">
        <v>2017</v>
      </c>
      <c r="E116" s="236"/>
      <c r="F116" s="236" t="s">
        <v>17</v>
      </c>
      <c r="G116" s="236"/>
      <c r="H116" s="66">
        <v>1</v>
      </c>
      <c r="I116" s="406" t="s">
        <v>922</v>
      </c>
      <c r="J116" s="409" t="s">
        <v>923</v>
      </c>
    </row>
    <row r="117" spans="2:10" s="58" customFormat="1" ht="15.75" customHeight="1" x14ac:dyDescent="0.25">
      <c r="B117" s="414"/>
      <c r="C117" s="481"/>
      <c r="D117" s="236">
        <v>2018</v>
      </c>
      <c r="E117" s="236"/>
      <c r="F117" s="236" t="s">
        <v>17</v>
      </c>
      <c r="G117" s="236"/>
      <c r="H117" s="66">
        <v>1</v>
      </c>
      <c r="I117" s="408"/>
      <c r="J117" s="411"/>
    </row>
    <row r="118" spans="2:10" s="58" customFormat="1" ht="24" customHeight="1" x14ac:dyDescent="0.25">
      <c r="B118" s="414"/>
      <c r="C118" s="481"/>
      <c r="D118" s="236">
        <v>2019</v>
      </c>
      <c r="E118" s="236"/>
      <c r="F118" s="236" t="s">
        <v>17</v>
      </c>
      <c r="G118" s="236"/>
      <c r="H118" s="66">
        <v>1</v>
      </c>
      <c r="I118" s="236" t="s">
        <v>921</v>
      </c>
      <c r="J118" s="242" t="s">
        <v>920</v>
      </c>
    </row>
    <row r="119" spans="2:10" s="58" customFormat="1" ht="15.75" customHeight="1" x14ac:dyDescent="0.25">
      <c r="B119" s="414" t="s">
        <v>266</v>
      </c>
      <c r="C119" s="481" t="s">
        <v>267</v>
      </c>
      <c r="D119" s="236">
        <v>2017</v>
      </c>
      <c r="E119" s="236"/>
      <c r="F119" s="236" t="s">
        <v>17</v>
      </c>
      <c r="G119" s="236"/>
      <c r="H119" s="66">
        <v>1</v>
      </c>
      <c r="I119" s="406" t="s">
        <v>924</v>
      </c>
      <c r="J119" s="409" t="s">
        <v>925</v>
      </c>
    </row>
    <row r="120" spans="2:10" s="58" customFormat="1" ht="15.75" customHeight="1" x14ac:dyDescent="0.25">
      <c r="B120" s="414"/>
      <c r="C120" s="481"/>
      <c r="D120" s="236">
        <v>2018</v>
      </c>
      <c r="E120" s="236"/>
      <c r="F120" s="236" t="s">
        <v>17</v>
      </c>
      <c r="G120" s="236"/>
      <c r="H120" s="66">
        <v>1</v>
      </c>
      <c r="I120" s="407"/>
      <c r="J120" s="410"/>
    </row>
    <row r="121" spans="2:10" s="58" customFormat="1" ht="15.75" customHeight="1" x14ac:dyDescent="0.25">
      <c r="B121" s="414"/>
      <c r="C121" s="481"/>
      <c r="D121" s="236">
        <v>2019</v>
      </c>
      <c r="E121" s="236"/>
      <c r="F121" s="236" t="s">
        <v>17</v>
      </c>
      <c r="G121" s="236"/>
      <c r="H121" s="66">
        <v>1</v>
      </c>
      <c r="I121" s="408"/>
      <c r="J121" s="411"/>
    </row>
    <row r="122" spans="2:10" s="58" customFormat="1" ht="15.75" customHeight="1" x14ac:dyDescent="0.25">
      <c r="B122" s="414" t="s">
        <v>276</v>
      </c>
      <c r="C122" s="481" t="s">
        <v>277</v>
      </c>
      <c r="D122" s="236">
        <v>2017</v>
      </c>
      <c r="E122" s="236" t="s">
        <v>17</v>
      </c>
      <c r="F122" s="236"/>
      <c r="G122" s="236"/>
      <c r="H122" s="66">
        <v>1</v>
      </c>
      <c r="I122" s="406" t="s">
        <v>926</v>
      </c>
      <c r="J122" s="409" t="s">
        <v>927</v>
      </c>
    </row>
    <row r="123" spans="2:10" s="58" customFormat="1" ht="15.75" customHeight="1" x14ac:dyDescent="0.25">
      <c r="B123" s="414"/>
      <c r="C123" s="481"/>
      <c r="D123" s="236">
        <v>2018</v>
      </c>
      <c r="E123" s="236" t="s">
        <v>17</v>
      </c>
      <c r="F123" s="236"/>
      <c r="G123" s="236"/>
      <c r="H123" s="66">
        <v>1</v>
      </c>
      <c r="I123" s="407"/>
      <c r="J123" s="410"/>
    </row>
    <row r="124" spans="2:10" s="58" customFormat="1" ht="15.75" customHeight="1" x14ac:dyDescent="0.25">
      <c r="B124" s="414"/>
      <c r="C124" s="481"/>
      <c r="D124" s="236">
        <v>2019</v>
      </c>
      <c r="E124" s="236" t="s">
        <v>17</v>
      </c>
      <c r="F124" s="236"/>
      <c r="G124" s="236"/>
      <c r="H124" s="66">
        <v>1</v>
      </c>
      <c r="I124" s="408"/>
      <c r="J124" s="411"/>
    </row>
    <row r="125" spans="2:10" s="58" customFormat="1" ht="15.75" customHeight="1" x14ac:dyDescent="0.25">
      <c r="B125" s="414" t="s">
        <v>292</v>
      </c>
      <c r="C125" s="481" t="s">
        <v>293</v>
      </c>
      <c r="D125" s="236">
        <v>2017</v>
      </c>
      <c r="E125" s="236"/>
      <c r="F125" s="236"/>
      <c r="G125" s="236"/>
      <c r="H125" s="236">
        <v>0</v>
      </c>
      <c r="I125" s="406" t="s">
        <v>26</v>
      </c>
      <c r="J125" s="409" t="s">
        <v>26</v>
      </c>
    </row>
    <row r="126" spans="2:10" s="58" customFormat="1" ht="15.75" customHeight="1" x14ac:dyDescent="0.25">
      <c r="B126" s="414"/>
      <c r="C126" s="481"/>
      <c r="D126" s="236">
        <v>2018</v>
      </c>
      <c r="E126" s="236"/>
      <c r="F126" s="236"/>
      <c r="G126" s="236"/>
      <c r="H126" s="236">
        <v>0</v>
      </c>
      <c r="I126" s="407"/>
      <c r="J126" s="410"/>
    </row>
    <row r="127" spans="2:10" s="58" customFormat="1" ht="15.75" customHeight="1" x14ac:dyDescent="0.25">
      <c r="B127" s="414"/>
      <c r="C127" s="481"/>
      <c r="D127" s="236">
        <v>2019</v>
      </c>
      <c r="E127" s="236"/>
      <c r="F127" s="236"/>
      <c r="G127" s="236"/>
      <c r="H127" s="236">
        <v>0</v>
      </c>
      <c r="I127" s="408"/>
      <c r="J127" s="411"/>
    </row>
    <row r="128" spans="2:10" s="58" customFormat="1" ht="15.75" customHeight="1" x14ac:dyDescent="0.25">
      <c r="B128" s="414" t="s">
        <v>301</v>
      </c>
      <c r="C128" s="481" t="s">
        <v>298</v>
      </c>
      <c r="D128" s="236">
        <v>2017</v>
      </c>
      <c r="E128" s="236" t="s">
        <v>17</v>
      </c>
      <c r="F128" s="236"/>
      <c r="G128" s="236"/>
      <c r="H128" s="236">
        <v>1</v>
      </c>
      <c r="I128" s="406" t="s">
        <v>930</v>
      </c>
      <c r="J128" s="409" t="s">
        <v>928</v>
      </c>
    </row>
    <row r="129" spans="2:10" s="58" customFormat="1" ht="15.75" customHeight="1" x14ac:dyDescent="0.25">
      <c r="B129" s="414"/>
      <c r="C129" s="481"/>
      <c r="D129" s="236">
        <v>2018</v>
      </c>
      <c r="E129" s="236" t="s">
        <v>17</v>
      </c>
      <c r="F129" s="236"/>
      <c r="G129" s="236"/>
      <c r="H129" s="236">
        <v>1</v>
      </c>
      <c r="I129" s="408"/>
      <c r="J129" s="411"/>
    </row>
    <row r="130" spans="2:10" s="58" customFormat="1" ht="27" customHeight="1" x14ac:dyDescent="0.25">
      <c r="B130" s="414"/>
      <c r="C130" s="481"/>
      <c r="D130" s="236">
        <v>2019</v>
      </c>
      <c r="E130" s="236"/>
      <c r="F130" s="236" t="s">
        <v>17</v>
      </c>
      <c r="G130" s="236"/>
      <c r="H130" s="236">
        <v>1</v>
      </c>
      <c r="I130" s="236" t="s">
        <v>929</v>
      </c>
      <c r="J130" s="237" t="s">
        <v>931</v>
      </c>
    </row>
    <row r="131" spans="2:10" s="58" customFormat="1" ht="15.75" customHeight="1" x14ac:dyDescent="0.25">
      <c r="B131" s="414" t="s">
        <v>297</v>
      </c>
      <c r="C131" s="481" t="s">
        <v>304</v>
      </c>
      <c r="D131" s="236">
        <v>2017</v>
      </c>
      <c r="E131" s="236"/>
      <c r="F131" s="236" t="s">
        <v>17</v>
      </c>
      <c r="G131" s="236"/>
      <c r="H131" s="236">
        <v>1</v>
      </c>
      <c r="I131" s="406" t="s">
        <v>932</v>
      </c>
      <c r="J131" s="415" t="s">
        <v>933</v>
      </c>
    </row>
    <row r="132" spans="2:10" s="58" customFormat="1" ht="15.75" customHeight="1" x14ac:dyDescent="0.25">
      <c r="B132" s="414"/>
      <c r="C132" s="481"/>
      <c r="D132" s="236">
        <v>2018</v>
      </c>
      <c r="E132" s="236"/>
      <c r="F132" s="236" t="s">
        <v>17</v>
      </c>
      <c r="G132" s="236"/>
      <c r="H132" s="236">
        <v>1</v>
      </c>
      <c r="I132" s="407"/>
      <c r="J132" s="416"/>
    </row>
    <row r="133" spans="2:10" s="58" customFormat="1" ht="15.75" customHeight="1" x14ac:dyDescent="0.25">
      <c r="B133" s="414"/>
      <c r="C133" s="481"/>
      <c r="D133" s="236">
        <v>2019</v>
      </c>
      <c r="E133" s="236"/>
      <c r="F133" s="236" t="s">
        <v>17</v>
      </c>
      <c r="G133" s="236"/>
      <c r="H133" s="236">
        <v>1</v>
      </c>
      <c r="I133" s="408"/>
      <c r="J133" s="417"/>
    </row>
    <row r="134" spans="2:10" s="58" customFormat="1" ht="15.75" customHeight="1" x14ac:dyDescent="0.25">
      <c r="B134" s="414" t="s">
        <v>310</v>
      </c>
      <c r="C134" s="481" t="s">
        <v>311</v>
      </c>
      <c r="D134" s="236">
        <v>2017</v>
      </c>
      <c r="E134" s="236"/>
      <c r="F134" s="236" t="s">
        <v>17</v>
      </c>
      <c r="G134" s="236"/>
      <c r="H134" s="236">
        <v>1</v>
      </c>
      <c r="I134" s="406" t="s">
        <v>935</v>
      </c>
      <c r="J134" s="409" t="s">
        <v>934</v>
      </c>
    </row>
    <row r="135" spans="2:10" s="58" customFormat="1" ht="15.75" customHeight="1" x14ac:dyDescent="0.25">
      <c r="B135" s="414"/>
      <c r="C135" s="481"/>
      <c r="D135" s="236">
        <v>2018</v>
      </c>
      <c r="E135" s="236"/>
      <c r="F135" s="236" t="s">
        <v>17</v>
      </c>
      <c r="G135" s="236"/>
      <c r="H135" s="236">
        <v>1</v>
      </c>
      <c r="I135" s="407"/>
      <c r="J135" s="410"/>
    </row>
    <row r="136" spans="2:10" s="58" customFormat="1" ht="15.75" customHeight="1" x14ac:dyDescent="0.25">
      <c r="B136" s="414"/>
      <c r="C136" s="481"/>
      <c r="D136" s="236">
        <v>2019</v>
      </c>
      <c r="E136" s="236"/>
      <c r="F136" s="236" t="s">
        <v>17</v>
      </c>
      <c r="G136" s="236"/>
      <c r="H136" s="236">
        <v>1</v>
      </c>
      <c r="I136" s="408"/>
      <c r="J136" s="411"/>
    </row>
    <row r="137" spans="2:10" s="58" customFormat="1" ht="15.75" customHeight="1" x14ac:dyDescent="0.25">
      <c r="B137" s="414" t="s">
        <v>314</v>
      </c>
      <c r="C137" s="481" t="s">
        <v>315</v>
      </c>
      <c r="D137" s="236">
        <v>2017</v>
      </c>
      <c r="E137" s="236"/>
      <c r="F137" s="236" t="s">
        <v>17</v>
      </c>
      <c r="G137" s="236"/>
      <c r="H137" s="236">
        <v>1</v>
      </c>
      <c r="I137" s="406" t="s">
        <v>937</v>
      </c>
      <c r="J137" s="418" t="s">
        <v>936</v>
      </c>
    </row>
    <row r="138" spans="2:10" s="58" customFormat="1" ht="15.75" customHeight="1" x14ac:dyDescent="0.25">
      <c r="B138" s="414"/>
      <c r="C138" s="481"/>
      <c r="D138" s="236">
        <v>2018</v>
      </c>
      <c r="E138" s="236"/>
      <c r="F138" s="236" t="s">
        <v>17</v>
      </c>
      <c r="G138" s="236"/>
      <c r="H138" s="236">
        <v>1</v>
      </c>
      <c r="I138" s="407"/>
      <c r="J138" s="419"/>
    </row>
    <row r="139" spans="2:10" s="58" customFormat="1" ht="15.75" customHeight="1" x14ac:dyDescent="0.25">
      <c r="B139" s="414"/>
      <c r="C139" s="481"/>
      <c r="D139" s="236">
        <v>2019</v>
      </c>
      <c r="E139" s="236"/>
      <c r="F139" s="236" t="s">
        <v>17</v>
      </c>
      <c r="G139" s="236"/>
      <c r="H139" s="236">
        <v>1</v>
      </c>
      <c r="I139" s="408"/>
      <c r="J139" s="420"/>
    </row>
    <row r="140" spans="2:10" s="58" customFormat="1" ht="15.75" customHeight="1" x14ac:dyDescent="0.25">
      <c r="B140" s="414" t="s">
        <v>320</v>
      </c>
      <c r="C140" s="481" t="s">
        <v>321</v>
      </c>
      <c r="D140" s="236">
        <v>2017</v>
      </c>
      <c r="E140" s="236"/>
      <c r="F140" s="236" t="s">
        <v>17</v>
      </c>
      <c r="G140" s="236"/>
      <c r="H140" s="236">
        <v>1</v>
      </c>
      <c r="I140" s="406" t="s">
        <v>939</v>
      </c>
      <c r="J140" s="409" t="s">
        <v>938</v>
      </c>
    </row>
    <row r="141" spans="2:10" s="58" customFormat="1" ht="15.75" customHeight="1" x14ac:dyDescent="0.25">
      <c r="B141" s="414"/>
      <c r="C141" s="481"/>
      <c r="D141" s="236">
        <v>2018</v>
      </c>
      <c r="E141" s="236"/>
      <c r="F141" s="236" t="s">
        <v>17</v>
      </c>
      <c r="G141" s="236"/>
      <c r="H141" s="236">
        <v>1</v>
      </c>
      <c r="I141" s="407"/>
      <c r="J141" s="410"/>
    </row>
    <row r="142" spans="2:10" s="58" customFormat="1" ht="15.75" customHeight="1" x14ac:dyDescent="0.25">
      <c r="B142" s="414"/>
      <c r="C142" s="481"/>
      <c r="D142" s="236">
        <v>2019</v>
      </c>
      <c r="E142" s="236"/>
      <c r="F142" s="236" t="s">
        <v>17</v>
      </c>
      <c r="G142" s="236"/>
      <c r="H142" s="236">
        <v>1</v>
      </c>
      <c r="I142" s="408"/>
      <c r="J142" s="411"/>
    </row>
    <row r="143" spans="2:10" s="58" customFormat="1" ht="15.75" customHeight="1" x14ac:dyDescent="0.25">
      <c r="B143" s="414" t="s">
        <v>325</v>
      </c>
      <c r="C143" s="481" t="s">
        <v>326</v>
      </c>
      <c r="D143" s="236">
        <v>2017</v>
      </c>
      <c r="E143" s="236" t="s">
        <v>17</v>
      </c>
      <c r="F143" s="236"/>
      <c r="G143" s="236"/>
      <c r="H143" s="236">
        <v>1</v>
      </c>
      <c r="I143" s="414" t="s">
        <v>943</v>
      </c>
      <c r="J143" s="412" t="s">
        <v>942</v>
      </c>
    </row>
    <row r="144" spans="2:10" s="58" customFormat="1" ht="15.75" customHeight="1" x14ac:dyDescent="0.25">
      <c r="B144" s="414"/>
      <c r="C144" s="481"/>
      <c r="D144" s="236">
        <v>2018</v>
      </c>
      <c r="E144" s="236" t="s">
        <v>17</v>
      </c>
      <c r="F144" s="236"/>
      <c r="G144" s="236"/>
      <c r="H144" s="236">
        <v>1</v>
      </c>
      <c r="I144" s="414"/>
      <c r="J144" s="413"/>
    </row>
    <row r="145" spans="2:10" s="58" customFormat="1" ht="30.75" customHeight="1" x14ac:dyDescent="0.25">
      <c r="B145" s="414"/>
      <c r="C145" s="481"/>
      <c r="D145" s="236">
        <v>2019</v>
      </c>
      <c r="E145" s="236" t="s">
        <v>17</v>
      </c>
      <c r="F145" s="236"/>
      <c r="G145" s="236"/>
      <c r="H145" s="236">
        <v>1</v>
      </c>
      <c r="I145" s="238" t="s">
        <v>941</v>
      </c>
      <c r="J145" s="243" t="s">
        <v>940</v>
      </c>
    </row>
    <row r="146" spans="2:10" s="58" customFormat="1" ht="15.75" customHeight="1" x14ac:dyDescent="0.25">
      <c r="B146" s="414" t="s">
        <v>329</v>
      </c>
      <c r="C146" s="481" t="s">
        <v>330</v>
      </c>
      <c r="D146" s="236">
        <v>2017</v>
      </c>
      <c r="E146" s="236"/>
      <c r="F146" s="236"/>
      <c r="G146" s="236"/>
      <c r="H146" s="236">
        <v>0</v>
      </c>
      <c r="I146" s="406" t="s">
        <v>26</v>
      </c>
      <c r="J146" s="409" t="s">
        <v>26</v>
      </c>
    </row>
    <row r="147" spans="2:10" s="58" customFormat="1" ht="15.75" customHeight="1" x14ac:dyDescent="0.25">
      <c r="B147" s="414"/>
      <c r="C147" s="481"/>
      <c r="D147" s="236">
        <v>2018</v>
      </c>
      <c r="E147" s="236"/>
      <c r="F147" s="236"/>
      <c r="G147" s="236"/>
      <c r="H147" s="236">
        <v>0</v>
      </c>
      <c r="I147" s="407"/>
      <c r="J147" s="410"/>
    </row>
    <row r="148" spans="2:10" s="58" customFormat="1" ht="15.75" customHeight="1" x14ac:dyDescent="0.25">
      <c r="B148" s="414"/>
      <c r="C148" s="481"/>
      <c r="D148" s="236">
        <v>2019</v>
      </c>
      <c r="E148" s="236"/>
      <c r="F148" s="236"/>
      <c r="G148" s="236"/>
      <c r="H148" s="236">
        <v>0</v>
      </c>
      <c r="I148" s="408"/>
      <c r="J148" s="411"/>
    </row>
    <row r="149" spans="2:10" s="58" customFormat="1" ht="15.75" customHeight="1" x14ac:dyDescent="0.25">
      <c r="B149" s="414" t="s">
        <v>337</v>
      </c>
      <c r="C149" s="481" t="s">
        <v>338</v>
      </c>
      <c r="D149" s="236">
        <v>2017</v>
      </c>
      <c r="E149" s="236"/>
      <c r="F149" s="236"/>
      <c r="G149" s="236"/>
      <c r="H149" s="236">
        <v>0</v>
      </c>
      <c r="I149" s="406" t="s">
        <v>26</v>
      </c>
      <c r="J149" s="409" t="s">
        <v>26</v>
      </c>
    </row>
    <row r="150" spans="2:10" s="58" customFormat="1" ht="15.75" customHeight="1" x14ac:dyDescent="0.25">
      <c r="B150" s="414"/>
      <c r="C150" s="481"/>
      <c r="D150" s="236">
        <v>2018</v>
      </c>
      <c r="E150" s="236"/>
      <c r="F150" s="236"/>
      <c r="G150" s="236"/>
      <c r="H150" s="236">
        <v>0</v>
      </c>
      <c r="I150" s="407"/>
      <c r="J150" s="410"/>
    </row>
    <row r="151" spans="2:10" s="58" customFormat="1" ht="15.75" customHeight="1" x14ac:dyDescent="0.25">
      <c r="B151" s="414"/>
      <c r="C151" s="481"/>
      <c r="D151" s="236">
        <v>2019</v>
      </c>
      <c r="E151" s="236"/>
      <c r="F151" s="236"/>
      <c r="G151" s="236"/>
      <c r="H151" s="236">
        <v>0</v>
      </c>
      <c r="I151" s="408"/>
      <c r="J151" s="411"/>
    </row>
    <row r="152" spans="2:10" s="61" customFormat="1" ht="15.75" customHeight="1" x14ac:dyDescent="0.25">
      <c r="B152" s="455" t="s">
        <v>340</v>
      </c>
      <c r="C152" s="454" t="s">
        <v>341</v>
      </c>
      <c r="D152" s="241">
        <v>2017</v>
      </c>
      <c r="E152" s="241"/>
      <c r="F152" s="241"/>
      <c r="G152" s="241"/>
      <c r="H152" s="241">
        <v>0</v>
      </c>
      <c r="I152" s="400" t="s">
        <v>26</v>
      </c>
      <c r="J152" s="402" t="s">
        <v>26</v>
      </c>
    </row>
    <row r="153" spans="2:10" s="61" customFormat="1" ht="15.75" customHeight="1" x14ac:dyDescent="0.25">
      <c r="B153" s="455"/>
      <c r="C153" s="454"/>
      <c r="D153" s="241">
        <v>2018</v>
      </c>
      <c r="E153" s="241"/>
      <c r="F153" s="241"/>
      <c r="G153" s="241"/>
      <c r="H153" s="241">
        <v>0</v>
      </c>
      <c r="I153" s="404"/>
      <c r="J153" s="405"/>
    </row>
    <row r="154" spans="2:10" s="61" customFormat="1" ht="15.75" customHeight="1" x14ac:dyDescent="0.25">
      <c r="B154" s="455"/>
      <c r="C154" s="454"/>
      <c r="D154" s="241">
        <v>2019</v>
      </c>
      <c r="E154" s="241"/>
      <c r="F154" s="241"/>
      <c r="G154" s="241"/>
      <c r="H154" s="241">
        <v>0</v>
      </c>
      <c r="I154" s="401"/>
      <c r="J154" s="403"/>
    </row>
    <row r="155" spans="2:10" s="61" customFormat="1" ht="30.75" customHeight="1" x14ac:dyDescent="0.25">
      <c r="B155" s="455" t="s">
        <v>345</v>
      </c>
      <c r="C155" s="454" t="s">
        <v>346</v>
      </c>
      <c r="D155" s="241">
        <v>2017</v>
      </c>
      <c r="E155" s="241"/>
      <c r="F155" s="241" t="s">
        <v>17</v>
      </c>
      <c r="G155" s="241"/>
      <c r="H155" s="241">
        <v>1</v>
      </c>
      <c r="I155" s="240" t="s">
        <v>946</v>
      </c>
      <c r="J155" s="240" t="s">
        <v>949</v>
      </c>
    </row>
    <row r="156" spans="2:10" s="61" customFormat="1" ht="15.75" customHeight="1" x14ac:dyDescent="0.25">
      <c r="B156" s="455"/>
      <c r="C156" s="454"/>
      <c r="D156" s="241">
        <v>2018</v>
      </c>
      <c r="E156" s="241" t="s">
        <v>17</v>
      </c>
      <c r="F156" s="241"/>
      <c r="G156" s="241"/>
      <c r="H156" s="241">
        <v>1</v>
      </c>
      <c r="I156" s="400" t="s">
        <v>945</v>
      </c>
      <c r="J156" s="482" t="s">
        <v>944</v>
      </c>
    </row>
    <row r="157" spans="2:10" s="61" customFormat="1" ht="15.75" customHeight="1" x14ac:dyDescent="0.25">
      <c r="B157" s="455"/>
      <c r="C157" s="454"/>
      <c r="D157" s="241">
        <v>2019</v>
      </c>
      <c r="E157" s="241" t="s">
        <v>17</v>
      </c>
      <c r="F157" s="241"/>
      <c r="G157" s="241"/>
      <c r="H157" s="241">
        <v>1</v>
      </c>
      <c r="I157" s="401"/>
      <c r="J157" s="483"/>
    </row>
    <row r="158" spans="2:10" s="61" customFormat="1" ht="15.75" customHeight="1" x14ac:dyDescent="0.25">
      <c r="B158" s="455" t="s">
        <v>349</v>
      </c>
      <c r="C158" s="455" t="s">
        <v>350</v>
      </c>
      <c r="D158" s="241">
        <v>2017</v>
      </c>
      <c r="E158" s="241"/>
      <c r="F158" s="241" t="s">
        <v>17</v>
      </c>
      <c r="G158" s="241"/>
      <c r="H158" s="241">
        <v>1</v>
      </c>
      <c r="I158" s="400" t="s">
        <v>947</v>
      </c>
      <c r="J158" s="402" t="s">
        <v>950</v>
      </c>
    </row>
    <row r="159" spans="2:10" s="61" customFormat="1" ht="15.75" customHeight="1" x14ac:dyDescent="0.25">
      <c r="B159" s="455"/>
      <c r="C159" s="455"/>
      <c r="D159" s="241">
        <v>2018</v>
      </c>
      <c r="E159" s="241"/>
      <c r="F159" s="241" t="s">
        <v>17</v>
      </c>
      <c r="G159" s="241"/>
      <c r="H159" s="241">
        <v>1</v>
      </c>
      <c r="I159" s="404"/>
      <c r="J159" s="405"/>
    </row>
    <row r="160" spans="2:10" s="61" customFormat="1" ht="15.75" customHeight="1" x14ac:dyDescent="0.25">
      <c r="B160" s="455"/>
      <c r="C160" s="455"/>
      <c r="D160" s="241">
        <v>2019</v>
      </c>
      <c r="E160" s="241"/>
      <c r="F160" s="241" t="s">
        <v>17</v>
      </c>
      <c r="G160" s="241"/>
      <c r="H160" s="241">
        <v>1</v>
      </c>
      <c r="I160" s="401"/>
      <c r="J160" s="403"/>
    </row>
    <row r="161" spans="2:10" s="61" customFormat="1" ht="15.75" customHeight="1" x14ac:dyDescent="0.25">
      <c r="B161" s="455" t="s">
        <v>354</v>
      </c>
      <c r="C161" s="454" t="s">
        <v>355</v>
      </c>
      <c r="D161" s="241">
        <v>2017</v>
      </c>
      <c r="E161" s="241"/>
      <c r="F161" s="241" t="s">
        <v>17</v>
      </c>
      <c r="G161" s="241"/>
      <c r="H161" s="241">
        <v>1</v>
      </c>
      <c r="I161" s="402" t="s">
        <v>948</v>
      </c>
      <c r="J161" s="402" t="s">
        <v>951</v>
      </c>
    </row>
    <row r="162" spans="2:10" s="61" customFormat="1" ht="15.75" customHeight="1" x14ac:dyDescent="0.25">
      <c r="B162" s="455"/>
      <c r="C162" s="454"/>
      <c r="D162" s="241">
        <v>2018</v>
      </c>
      <c r="E162" s="241"/>
      <c r="F162" s="241" t="s">
        <v>17</v>
      </c>
      <c r="G162" s="241"/>
      <c r="H162" s="241">
        <v>1</v>
      </c>
      <c r="I162" s="405"/>
      <c r="J162" s="405"/>
    </row>
    <row r="163" spans="2:10" s="61" customFormat="1" ht="15.75" customHeight="1" x14ac:dyDescent="0.25">
      <c r="B163" s="455"/>
      <c r="C163" s="454"/>
      <c r="D163" s="241">
        <v>2019</v>
      </c>
      <c r="E163" s="241"/>
      <c r="F163" s="241" t="s">
        <v>17</v>
      </c>
      <c r="G163" s="241"/>
      <c r="H163" s="241">
        <v>1</v>
      </c>
      <c r="I163" s="403"/>
      <c r="J163" s="403"/>
    </row>
    <row r="164" spans="2:10" s="61" customFormat="1" ht="15.75" customHeight="1" x14ac:dyDescent="0.25">
      <c r="B164" s="455" t="s">
        <v>362</v>
      </c>
      <c r="C164" s="454" t="s">
        <v>363</v>
      </c>
      <c r="D164" s="241">
        <v>2017</v>
      </c>
      <c r="E164" s="241"/>
      <c r="F164" s="244" t="s">
        <v>17</v>
      </c>
      <c r="G164" s="241"/>
      <c r="H164" s="244">
        <v>1</v>
      </c>
      <c r="I164" s="400" t="s">
        <v>952</v>
      </c>
      <c r="J164" s="402" t="s">
        <v>955</v>
      </c>
    </row>
    <row r="165" spans="2:10" s="61" customFormat="1" ht="15.75" customHeight="1" x14ac:dyDescent="0.25">
      <c r="B165" s="455"/>
      <c r="C165" s="454"/>
      <c r="D165" s="241">
        <v>2018</v>
      </c>
      <c r="E165" s="241"/>
      <c r="F165" s="244" t="s">
        <v>17</v>
      </c>
      <c r="G165" s="241"/>
      <c r="H165" s="244">
        <v>1</v>
      </c>
      <c r="I165" s="404"/>
      <c r="J165" s="405"/>
    </row>
    <row r="166" spans="2:10" s="61" customFormat="1" ht="15.75" customHeight="1" x14ac:dyDescent="0.25">
      <c r="B166" s="455"/>
      <c r="C166" s="454"/>
      <c r="D166" s="241">
        <v>2019</v>
      </c>
      <c r="E166" s="241"/>
      <c r="F166" s="244" t="s">
        <v>17</v>
      </c>
      <c r="G166" s="241"/>
      <c r="H166" s="244">
        <v>1</v>
      </c>
      <c r="I166" s="401"/>
      <c r="J166" s="403"/>
    </row>
    <row r="167" spans="2:10" s="61" customFormat="1" ht="15.75" customHeight="1" x14ac:dyDescent="0.25">
      <c r="B167" s="455" t="s">
        <v>366</v>
      </c>
      <c r="C167" s="454" t="s">
        <v>367</v>
      </c>
      <c r="D167" s="241">
        <v>2017</v>
      </c>
      <c r="E167" s="241"/>
      <c r="F167" s="244" t="s">
        <v>17</v>
      </c>
      <c r="G167" s="241"/>
      <c r="H167" s="244">
        <v>1</v>
      </c>
      <c r="I167" s="400" t="s">
        <v>953</v>
      </c>
      <c r="J167" s="402" t="s">
        <v>954</v>
      </c>
    </row>
    <row r="168" spans="2:10" s="61" customFormat="1" ht="15.75" customHeight="1" x14ac:dyDescent="0.25">
      <c r="B168" s="455"/>
      <c r="C168" s="454"/>
      <c r="D168" s="241">
        <v>2018</v>
      </c>
      <c r="E168" s="241"/>
      <c r="F168" s="244" t="s">
        <v>17</v>
      </c>
      <c r="G168" s="241"/>
      <c r="H168" s="244">
        <v>1</v>
      </c>
      <c r="I168" s="404"/>
      <c r="J168" s="405"/>
    </row>
    <row r="169" spans="2:10" s="61" customFormat="1" ht="15.75" customHeight="1" x14ac:dyDescent="0.25">
      <c r="B169" s="455"/>
      <c r="C169" s="454"/>
      <c r="D169" s="241">
        <v>2019</v>
      </c>
      <c r="E169" s="241"/>
      <c r="F169" s="244" t="s">
        <v>17</v>
      </c>
      <c r="G169" s="241"/>
      <c r="H169" s="244">
        <v>1</v>
      </c>
      <c r="I169" s="401"/>
      <c r="J169" s="403"/>
    </row>
    <row r="170" spans="2:10" s="61" customFormat="1" ht="15.75" customHeight="1" x14ac:dyDescent="0.25">
      <c r="B170" s="455" t="s">
        <v>368</v>
      </c>
      <c r="C170" s="454" t="s">
        <v>369</v>
      </c>
      <c r="D170" s="241">
        <v>2017</v>
      </c>
      <c r="E170" s="241"/>
      <c r="F170" s="244" t="s">
        <v>17</v>
      </c>
      <c r="G170" s="241"/>
      <c r="H170" s="244">
        <v>1</v>
      </c>
      <c r="I170" s="400" t="s">
        <v>957</v>
      </c>
      <c r="J170" s="402" t="s">
        <v>956</v>
      </c>
    </row>
    <row r="171" spans="2:10" s="61" customFormat="1" ht="15.75" customHeight="1" x14ac:dyDescent="0.25">
      <c r="B171" s="455"/>
      <c r="C171" s="454"/>
      <c r="D171" s="241">
        <v>2018</v>
      </c>
      <c r="E171" s="241"/>
      <c r="F171" s="244" t="s">
        <v>17</v>
      </c>
      <c r="G171" s="241"/>
      <c r="H171" s="244">
        <v>1</v>
      </c>
      <c r="I171" s="404"/>
      <c r="J171" s="405"/>
    </row>
    <row r="172" spans="2:10" s="61" customFormat="1" ht="15.75" customHeight="1" x14ac:dyDescent="0.25">
      <c r="B172" s="455"/>
      <c r="C172" s="454"/>
      <c r="D172" s="241">
        <v>2019</v>
      </c>
      <c r="E172" s="241"/>
      <c r="F172" s="244" t="s">
        <v>17</v>
      </c>
      <c r="G172" s="241"/>
      <c r="H172" s="244">
        <v>1</v>
      </c>
      <c r="I172" s="401"/>
      <c r="J172" s="403"/>
    </row>
    <row r="173" spans="2:10" s="61" customFormat="1" ht="15.75" customHeight="1" x14ac:dyDescent="0.25">
      <c r="B173" s="455" t="s">
        <v>372</v>
      </c>
      <c r="C173" s="454" t="s">
        <v>373</v>
      </c>
      <c r="D173" s="241">
        <v>2017</v>
      </c>
      <c r="E173" s="241"/>
      <c r="F173" s="241"/>
      <c r="G173" s="241"/>
      <c r="H173" s="241">
        <v>0</v>
      </c>
      <c r="I173" s="400" t="s">
        <v>26</v>
      </c>
      <c r="J173" s="402" t="s">
        <v>26</v>
      </c>
    </row>
    <row r="174" spans="2:10" s="61" customFormat="1" ht="15.75" customHeight="1" x14ac:dyDescent="0.25">
      <c r="B174" s="455"/>
      <c r="C174" s="454"/>
      <c r="D174" s="241">
        <v>2018</v>
      </c>
      <c r="E174" s="241"/>
      <c r="F174" s="241"/>
      <c r="G174" s="241"/>
      <c r="H174" s="241">
        <v>0</v>
      </c>
      <c r="I174" s="404"/>
      <c r="J174" s="405"/>
    </row>
    <row r="175" spans="2:10" s="61" customFormat="1" ht="15.75" customHeight="1" x14ac:dyDescent="0.25">
      <c r="B175" s="455"/>
      <c r="C175" s="454"/>
      <c r="D175" s="241">
        <v>2019</v>
      </c>
      <c r="E175" s="241"/>
      <c r="F175" s="241"/>
      <c r="G175" s="241"/>
      <c r="H175" s="241">
        <v>0</v>
      </c>
      <c r="I175" s="401"/>
      <c r="J175" s="403"/>
    </row>
    <row r="176" spans="2:10" s="61" customFormat="1" ht="15.75" customHeight="1" x14ac:dyDescent="0.25">
      <c r="B176" s="455" t="s">
        <v>377</v>
      </c>
      <c r="C176" s="454" t="s">
        <v>378</v>
      </c>
      <c r="D176" s="241">
        <v>2017</v>
      </c>
      <c r="E176" s="241"/>
      <c r="F176" s="241" t="s">
        <v>17</v>
      </c>
      <c r="G176" s="241"/>
      <c r="H176" s="241">
        <v>1</v>
      </c>
      <c r="I176" s="400" t="s">
        <v>959</v>
      </c>
      <c r="J176" s="402" t="s">
        <v>958</v>
      </c>
    </row>
    <row r="177" spans="2:10" s="61" customFormat="1" ht="15.75" customHeight="1" x14ac:dyDescent="0.25">
      <c r="B177" s="455"/>
      <c r="C177" s="454"/>
      <c r="D177" s="241">
        <v>2018</v>
      </c>
      <c r="E177" s="241"/>
      <c r="F177" s="241" t="s">
        <v>17</v>
      </c>
      <c r="G177" s="241"/>
      <c r="H177" s="241">
        <v>1</v>
      </c>
      <c r="I177" s="404"/>
      <c r="J177" s="405"/>
    </row>
    <row r="178" spans="2:10" s="61" customFormat="1" ht="15.75" customHeight="1" x14ac:dyDescent="0.25">
      <c r="B178" s="455"/>
      <c r="C178" s="454"/>
      <c r="D178" s="241">
        <v>2019</v>
      </c>
      <c r="E178" s="241"/>
      <c r="F178" s="241" t="s">
        <v>17</v>
      </c>
      <c r="G178" s="241"/>
      <c r="H178" s="241">
        <v>1</v>
      </c>
      <c r="I178" s="401"/>
      <c r="J178" s="403"/>
    </row>
    <row r="179" spans="2:10" s="61" customFormat="1" ht="15.75" customHeight="1" x14ac:dyDescent="0.25">
      <c r="B179" s="455" t="s">
        <v>381</v>
      </c>
      <c r="C179" s="454" t="s">
        <v>382</v>
      </c>
      <c r="D179" s="241">
        <v>2017</v>
      </c>
      <c r="E179" s="241"/>
      <c r="F179" s="241"/>
      <c r="G179" s="241"/>
      <c r="H179" s="244">
        <v>0</v>
      </c>
      <c r="I179" s="400" t="s">
        <v>26</v>
      </c>
      <c r="J179" s="402" t="s">
        <v>26</v>
      </c>
    </row>
    <row r="180" spans="2:10" s="61" customFormat="1" ht="15.75" customHeight="1" x14ac:dyDescent="0.25">
      <c r="B180" s="455"/>
      <c r="C180" s="454"/>
      <c r="D180" s="241">
        <v>2018</v>
      </c>
      <c r="E180" s="241"/>
      <c r="F180" s="241"/>
      <c r="G180" s="241"/>
      <c r="H180" s="244">
        <v>0</v>
      </c>
      <c r="I180" s="404"/>
      <c r="J180" s="405"/>
    </row>
    <row r="181" spans="2:10" s="61" customFormat="1" ht="15.75" customHeight="1" x14ac:dyDescent="0.25">
      <c r="B181" s="455"/>
      <c r="C181" s="454"/>
      <c r="D181" s="241">
        <v>2019</v>
      </c>
      <c r="E181" s="241"/>
      <c r="F181" s="241"/>
      <c r="G181" s="241"/>
      <c r="H181" s="244">
        <v>0</v>
      </c>
      <c r="I181" s="401"/>
      <c r="J181" s="403"/>
    </row>
    <row r="182" spans="2:10" s="61" customFormat="1" ht="30" x14ac:dyDescent="0.25">
      <c r="B182" s="455" t="s">
        <v>384</v>
      </c>
      <c r="C182" s="454" t="s">
        <v>385</v>
      </c>
      <c r="D182" s="241">
        <v>2017</v>
      </c>
      <c r="E182" s="241" t="s">
        <v>17</v>
      </c>
      <c r="F182" s="241"/>
      <c r="G182" s="241"/>
      <c r="H182" s="241">
        <v>1</v>
      </c>
      <c r="I182" s="244" t="s">
        <v>962</v>
      </c>
      <c r="J182" s="245" t="s">
        <v>963</v>
      </c>
    </row>
    <row r="183" spans="2:10" s="61" customFormat="1" ht="15.75" customHeight="1" x14ac:dyDescent="0.25">
      <c r="B183" s="455"/>
      <c r="C183" s="454"/>
      <c r="D183" s="241">
        <v>2018</v>
      </c>
      <c r="E183" s="241"/>
      <c r="F183" s="241" t="s">
        <v>17</v>
      </c>
      <c r="G183" s="241"/>
      <c r="H183" s="241">
        <v>1</v>
      </c>
      <c r="I183" s="400" t="s">
        <v>961</v>
      </c>
      <c r="J183" s="402" t="s">
        <v>960</v>
      </c>
    </row>
    <row r="184" spans="2:10" s="61" customFormat="1" ht="15.75" customHeight="1" x14ac:dyDescent="0.25">
      <c r="B184" s="455"/>
      <c r="C184" s="454"/>
      <c r="D184" s="241">
        <v>2019</v>
      </c>
      <c r="E184" s="241"/>
      <c r="F184" s="241" t="s">
        <v>17</v>
      </c>
      <c r="G184" s="241"/>
      <c r="H184" s="241">
        <v>1</v>
      </c>
      <c r="I184" s="401"/>
      <c r="J184" s="403"/>
    </row>
    <row r="185" spans="2:10" s="61" customFormat="1" ht="15.75" customHeight="1" x14ac:dyDescent="0.25">
      <c r="B185" s="455" t="s">
        <v>387</v>
      </c>
      <c r="C185" s="454" t="s">
        <v>388</v>
      </c>
      <c r="D185" s="241">
        <v>2017</v>
      </c>
      <c r="E185" s="241"/>
      <c r="F185" s="241"/>
      <c r="G185" s="241"/>
      <c r="H185" s="246">
        <v>0</v>
      </c>
      <c r="I185" s="400" t="s">
        <v>26</v>
      </c>
      <c r="J185" s="402" t="s">
        <v>26</v>
      </c>
    </row>
    <row r="186" spans="2:10" s="61" customFormat="1" ht="15.75" customHeight="1" x14ac:dyDescent="0.25">
      <c r="B186" s="455"/>
      <c r="C186" s="454"/>
      <c r="D186" s="241">
        <v>2018</v>
      </c>
      <c r="E186" s="241"/>
      <c r="F186" s="241"/>
      <c r="G186" s="241"/>
      <c r="H186" s="246">
        <v>0</v>
      </c>
      <c r="I186" s="404"/>
      <c r="J186" s="405"/>
    </row>
    <row r="187" spans="2:10" s="61" customFormat="1" ht="15.75" customHeight="1" x14ac:dyDescent="0.25">
      <c r="B187" s="455"/>
      <c r="C187" s="454"/>
      <c r="D187" s="241">
        <v>2019</v>
      </c>
      <c r="E187" s="241"/>
      <c r="F187" s="241"/>
      <c r="G187" s="241"/>
      <c r="H187" s="246">
        <v>0</v>
      </c>
      <c r="I187" s="401"/>
      <c r="J187" s="403"/>
    </row>
    <row r="188" spans="2:10" s="61" customFormat="1" ht="15.75" customHeight="1" x14ac:dyDescent="0.25">
      <c r="B188" s="455" t="s">
        <v>391</v>
      </c>
      <c r="C188" s="454" t="s">
        <v>392</v>
      </c>
      <c r="D188" s="241">
        <v>2017</v>
      </c>
      <c r="E188" s="241" t="s">
        <v>17</v>
      </c>
      <c r="F188" s="241"/>
      <c r="G188" s="241"/>
      <c r="H188" s="241">
        <v>1</v>
      </c>
      <c r="I188" s="400" t="s">
        <v>964</v>
      </c>
      <c r="J188" s="402" t="s">
        <v>965</v>
      </c>
    </row>
    <row r="189" spans="2:10" s="61" customFormat="1" ht="15.75" customHeight="1" x14ac:dyDescent="0.25">
      <c r="B189" s="455"/>
      <c r="C189" s="454"/>
      <c r="D189" s="241">
        <v>2018</v>
      </c>
      <c r="E189" s="241" t="s">
        <v>17</v>
      </c>
      <c r="F189" s="241"/>
      <c r="G189" s="241"/>
      <c r="H189" s="246">
        <v>1</v>
      </c>
      <c r="I189" s="404"/>
      <c r="J189" s="405"/>
    </row>
    <row r="190" spans="2:10" s="61" customFormat="1" ht="15.75" customHeight="1" x14ac:dyDescent="0.25">
      <c r="B190" s="455"/>
      <c r="C190" s="454"/>
      <c r="D190" s="241">
        <v>2019</v>
      </c>
      <c r="E190" s="241" t="s">
        <v>17</v>
      </c>
      <c r="F190" s="241"/>
      <c r="G190" s="241"/>
      <c r="H190" s="246">
        <v>1</v>
      </c>
      <c r="I190" s="401"/>
      <c r="J190" s="403"/>
    </row>
    <row r="191" spans="2:10" s="61" customFormat="1" ht="15.75" customHeight="1" x14ac:dyDescent="0.25">
      <c r="B191" s="455" t="s">
        <v>397</v>
      </c>
      <c r="C191" s="454" t="s">
        <v>398</v>
      </c>
      <c r="D191" s="241">
        <v>2017</v>
      </c>
      <c r="E191" s="241"/>
      <c r="F191" s="246" t="s">
        <v>17</v>
      </c>
      <c r="G191" s="241"/>
      <c r="H191" s="246">
        <v>1</v>
      </c>
      <c r="I191" s="400" t="s">
        <v>968</v>
      </c>
      <c r="J191" s="484" t="s">
        <v>967</v>
      </c>
    </row>
    <row r="192" spans="2:10" s="61" customFormat="1" ht="15.75" customHeight="1" x14ac:dyDescent="0.25">
      <c r="B192" s="455"/>
      <c r="C192" s="454"/>
      <c r="D192" s="241">
        <v>2018</v>
      </c>
      <c r="E192" s="241"/>
      <c r="F192" s="246" t="s">
        <v>17</v>
      </c>
      <c r="G192" s="241"/>
      <c r="H192" s="246">
        <v>1</v>
      </c>
      <c r="I192" s="404"/>
      <c r="J192" s="485"/>
    </row>
    <row r="193" spans="2:10" s="61" customFormat="1" ht="15.75" customHeight="1" x14ac:dyDescent="0.25">
      <c r="B193" s="455"/>
      <c r="C193" s="454"/>
      <c r="D193" s="241">
        <v>2019</v>
      </c>
      <c r="E193" s="241"/>
      <c r="F193" s="246" t="s">
        <v>17</v>
      </c>
      <c r="G193" s="241"/>
      <c r="H193" s="246">
        <v>1</v>
      </c>
      <c r="I193" s="401"/>
      <c r="J193" s="486"/>
    </row>
    <row r="194" spans="2:10" s="190" customFormat="1" ht="15.75" customHeight="1" x14ac:dyDescent="0.25">
      <c r="B194" s="392" t="s">
        <v>402</v>
      </c>
      <c r="C194" s="393" t="s">
        <v>403</v>
      </c>
      <c r="D194" s="247">
        <v>2017</v>
      </c>
      <c r="E194" s="247"/>
      <c r="F194" s="247"/>
      <c r="G194" s="247"/>
      <c r="H194" s="247">
        <v>0</v>
      </c>
      <c r="I194" s="394" t="s">
        <v>26</v>
      </c>
      <c r="J194" s="397" t="s">
        <v>26</v>
      </c>
    </row>
    <row r="195" spans="2:10" s="190" customFormat="1" ht="15.75" customHeight="1" x14ac:dyDescent="0.25">
      <c r="B195" s="392"/>
      <c r="C195" s="393"/>
      <c r="D195" s="247">
        <v>2018</v>
      </c>
      <c r="E195" s="247"/>
      <c r="F195" s="247"/>
      <c r="G195" s="247"/>
      <c r="H195" s="247">
        <v>0</v>
      </c>
      <c r="I195" s="395"/>
      <c r="J195" s="398"/>
    </row>
    <row r="196" spans="2:10" s="190" customFormat="1" ht="15.75" customHeight="1" x14ac:dyDescent="0.25">
      <c r="B196" s="392"/>
      <c r="C196" s="393"/>
      <c r="D196" s="247">
        <v>2019</v>
      </c>
      <c r="E196" s="247"/>
      <c r="F196" s="247"/>
      <c r="G196" s="247"/>
      <c r="H196" s="247">
        <v>0</v>
      </c>
      <c r="I196" s="396"/>
      <c r="J196" s="399"/>
    </row>
    <row r="197" spans="2:10" s="190" customFormat="1" ht="15.75" customHeight="1" x14ac:dyDescent="0.25">
      <c r="B197" s="392" t="s">
        <v>412</v>
      </c>
      <c r="C197" s="393" t="s">
        <v>413</v>
      </c>
      <c r="D197" s="247">
        <v>2017</v>
      </c>
      <c r="E197" s="247"/>
      <c r="F197" s="247"/>
      <c r="G197" s="247"/>
      <c r="H197" s="247">
        <v>0</v>
      </c>
      <c r="I197" s="394" t="s">
        <v>26</v>
      </c>
      <c r="J197" s="397" t="s">
        <v>26</v>
      </c>
    </row>
    <row r="198" spans="2:10" s="190" customFormat="1" ht="15.75" customHeight="1" x14ac:dyDescent="0.25">
      <c r="B198" s="392"/>
      <c r="C198" s="393"/>
      <c r="D198" s="247">
        <v>2018</v>
      </c>
      <c r="E198" s="247"/>
      <c r="F198" s="247"/>
      <c r="G198" s="247"/>
      <c r="H198" s="247">
        <v>0</v>
      </c>
      <c r="I198" s="395"/>
      <c r="J198" s="398"/>
    </row>
    <row r="199" spans="2:10" s="190" customFormat="1" ht="15.75" customHeight="1" x14ac:dyDescent="0.25">
      <c r="B199" s="392"/>
      <c r="C199" s="393"/>
      <c r="D199" s="247">
        <v>2019</v>
      </c>
      <c r="E199" s="247"/>
      <c r="F199" s="247"/>
      <c r="G199" s="247"/>
      <c r="H199" s="247">
        <v>0</v>
      </c>
      <c r="I199" s="396"/>
      <c r="J199" s="399"/>
    </row>
    <row r="200" spans="2:10" s="190" customFormat="1" ht="15.75" customHeight="1" x14ac:dyDescent="0.25">
      <c r="B200" s="392" t="s">
        <v>419</v>
      </c>
      <c r="C200" s="393" t="s">
        <v>420</v>
      </c>
      <c r="D200" s="247">
        <v>2017</v>
      </c>
      <c r="E200" s="247"/>
      <c r="F200" s="247"/>
      <c r="G200" s="247"/>
      <c r="H200" s="247">
        <v>0</v>
      </c>
      <c r="I200" s="394" t="s">
        <v>26</v>
      </c>
      <c r="J200" s="397" t="s">
        <v>26</v>
      </c>
    </row>
    <row r="201" spans="2:10" s="190" customFormat="1" ht="15.75" customHeight="1" x14ac:dyDescent="0.25">
      <c r="B201" s="392"/>
      <c r="C201" s="393"/>
      <c r="D201" s="247">
        <v>2018</v>
      </c>
      <c r="E201" s="247"/>
      <c r="F201" s="247"/>
      <c r="G201" s="247"/>
      <c r="H201" s="247">
        <v>0</v>
      </c>
      <c r="I201" s="395"/>
      <c r="J201" s="398"/>
    </row>
    <row r="202" spans="2:10" s="190" customFormat="1" ht="15.75" customHeight="1" x14ac:dyDescent="0.25">
      <c r="B202" s="392"/>
      <c r="C202" s="393"/>
      <c r="D202" s="247">
        <v>2019</v>
      </c>
      <c r="E202" s="247"/>
      <c r="F202" s="247"/>
      <c r="G202" s="247"/>
      <c r="H202" s="247">
        <v>0</v>
      </c>
      <c r="I202" s="396"/>
      <c r="J202" s="399"/>
    </row>
    <row r="203" spans="2:10" s="190" customFormat="1" ht="15.75" customHeight="1" x14ac:dyDescent="0.25">
      <c r="B203" s="392" t="s">
        <v>423</v>
      </c>
      <c r="C203" s="393" t="s">
        <v>424</v>
      </c>
      <c r="D203" s="247">
        <v>2017</v>
      </c>
      <c r="E203" s="247"/>
      <c r="F203" s="247" t="s">
        <v>966</v>
      </c>
      <c r="G203" s="247"/>
      <c r="H203" s="247">
        <v>1</v>
      </c>
      <c r="I203" s="394" t="s">
        <v>970</v>
      </c>
      <c r="J203" s="397" t="s">
        <v>969</v>
      </c>
    </row>
    <row r="204" spans="2:10" s="190" customFormat="1" ht="15.75" customHeight="1" x14ac:dyDescent="0.25">
      <c r="B204" s="392"/>
      <c r="C204" s="393"/>
      <c r="D204" s="247">
        <v>2018</v>
      </c>
      <c r="E204" s="247"/>
      <c r="F204" s="247" t="s">
        <v>966</v>
      </c>
      <c r="G204" s="247"/>
      <c r="H204" s="247">
        <v>1</v>
      </c>
      <c r="I204" s="395"/>
      <c r="J204" s="398"/>
    </row>
    <row r="205" spans="2:10" s="190" customFormat="1" ht="15.75" customHeight="1" x14ac:dyDescent="0.25">
      <c r="B205" s="392"/>
      <c r="C205" s="393"/>
      <c r="D205" s="247">
        <v>2019</v>
      </c>
      <c r="E205" s="247"/>
      <c r="F205" s="247" t="s">
        <v>966</v>
      </c>
      <c r="G205" s="247"/>
      <c r="H205" s="247">
        <v>1</v>
      </c>
      <c r="I205" s="396"/>
      <c r="J205" s="399"/>
    </row>
    <row r="206" spans="2:10" s="190" customFormat="1" ht="15.75" customHeight="1" x14ac:dyDescent="0.25">
      <c r="B206" s="392" t="s">
        <v>427</v>
      </c>
      <c r="C206" s="393" t="s">
        <v>428</v>
      </c>
      <c r="D206" s="247">
        <v>2017</v>
      </c>
      <c r="E206" s="247"/>
      <c r="F206" s="247" t="s">
        <v>17</v>
      </c>
      <c r="G206" s="247"/>
      <c r="H206" s="247">
        <v>1</v>
      </c>
      <c r="I206" s="394" t="s">
        <v>972</v>
      </c>
      <c r="J206" s="397" t="s">
        <v>971</v>
      </c>
    </row>
    <row r="207" spans="2:10" s="190" customFormat="1" ht="15.75" customHeight="1" x14ac:dyDescent="0.25">
      <c r="B207" s="392"/>
      <c r="C207" s="393"/>
      <c r="D207" s="247">
        <v>2018</v>
      </c>
      <c r="E207" s="247"/>
      <c r="F207" s="247" t="s">
        <v>17</v>
      </c>
      <c r="G207" s="247"/>
      <c r="H207" s="247">
        <v>1</v>
      </c>
      <c r="I207" s="395"/>
      <c r="J207" s="398"/>
    </row>
    <row r="208" spans="2:10" s="190" customFormat="1" ht="15.75" customHeight="1" x14ac:dyDescent="0.25">
      <c r="B208" s="392"/>
      <c r="C208" s="393"/>
      <c r="D208" s="247">
        <v>2019</v>
      </c>
      <c r="E208" s="247"/>
      <c r="F208" s="247" t="s">
        <v>17</v>
      </c>
      <c r="G208" s="247"/>
      <c r="H208" s="247">
        <v>1</v>
      </c>
      <c r="I208" s="396"/>
      <c r="J208" s="399"/>
    </row>
    <row r="209" spans="2:10" s="190" customFormat="1" ht="15.75" customHeight="1" x14ac:dyDescent="0.25">
      <c r="B209" s="392" t="s">
        <v>433</v>
      </c>
      <c r="C209" s="393" t="s">
        <v>434</v>
      </c>
      <c r="D209" s="247">
        <v>2017</v>
      </c>
      <c r="E209" s="247"/>
      <c r="F209" s="247"/>
      <c r="G209" s="247"/>
      <c r="H209" s="247">
        <v>0</v>
      </c>
      <c r="I209" s="394" t="s">
        <v>26</v>
      </c>
      <c r="J209" s="397" t="s">
        <v>26</v>
      </c>
    </row>
    <row r="210" spans="2:10" s="190" customFormat="1" ht="15.75" customHeight="1" x14ac:dyDescent="0.25">
      <c r="B210" s="392"/>
      <c r="C210" s="393"/>
      <c r="D210" s="247">
        <v>2018</v>
      </c>
      <c r="E210" s="247"/>
      <c r="F210" s="247"/>
      <c r="G210" s="247"/>
      <c r="H210" s="247">
        <v>0</v>
      </c>
      <c r="I210" s="395"/>
      <c r="J210" s="398"/>
    </row>
    <row r="211" spans="2:10" s="190" customFormat="1" ht="15.75" customHeight="1" x14ac:dyDescent="0.25">
      <c r="B211" s="392"/>
      <c r="C211" s="393"/>
      <c r="D211" s="247">
        <v>2019</v>
      </c>
      <c r="E211" s="247"/>
      <c r="F211" s="247"/>
      <c r="G211" s="247"/>
      <c r="H211" s="247">
        <v>0</v>
      </c>
      <c r="I211" s="396"/>
      <c r="J211" s="399"/>
    </row>
    <row r="212" spans="2:10" s="190" customFormat="1" ht="15.75" customHeight="1" x14ac:dyDescent="0.25">
      <c r="B212" s="392" t="s">
        <v>444</v>
      </c>
      <c r="C212" s="393" t="s">
        <v>445</v>
      </c>
      <c r="D212" s="247">
        <v>2017</v>
      </c>
      <c r="E212" s="247"/>
      <c r="F212" s="247"/>
      <c r="G212" s="247"/>
      <c r="H212" s="247">
        <v>0</v>
      </c>
      <c r="I212" s="394" t="s">
        <v>26</v>
      </c>
      <c r="J212" s="397" t="s">
        <v>26</v>
      </c>
    </row>
    <row r="213" spans="2:10" s="190" customFormat="1" ht="15.75" customHeight="1" x14ac:dyDescent="0.25">
      <c r="B213" s="392"/>
      <c r="C213" s="393"/>
      <c r="D213" s="247">
        <v>2018</v>
      </c>
      <c r="E213" s="247"/>
      <c r="F213" s="247"/>
      <c r="G213" s="247"/>
      <c r="H213" s="247">
        <v>0</v>
      </c>
      <c r="I213" s="395"/>
      <c r="J213" s="398"/>
    </row>
    <row r="214" spans="2:10" s="190" customFormat="1" ht="15.75" customHeight="1" x14ac:dyDescent="0.25">
      <c r="B214" s="392"/>
      <c r="C214" s="393"/>
      <c r="D214" s="247">
        <v>2019</v>
      </c>
      <c r="E214" s="247"/>
      <c r="F214" s="247"/>
      <c r="G214" s="247"/>
      <c r="H214" s="247">
        <v>0</v>
      </c>
      <c r="I214" s="396"/>
      <c r="J214" s="399"/>
    </row>
    <row r="215" spans="2:10" s="190" customFormat="1" ht="15.75" customHeight="1" x14ac:dyDescent="0.25">
      <c r="B215" s="392" t="s">
        <v>451</v>
      </c>
      <c r="C215" s="393" t="s">
        <v>452</v>
      </c>
      <c r="D215" s="247">
        <v>2017</v>
      </c>
      <c r="E215" s="247"/>
      <c r="F215" s="247" t="s">
        <v>17</v>
      </c>
      <c r="G215" s="247"/>
      <c r="H215" s="247">
        <v>1</v>
      </c>
      <c r="I215" s="394" t="s">
        <v>974</v>
      </c>
      <c r="J215" s="397" t="s">
        <v>973</v>
      </c>
    </row>
    <row r="216" spans="2:10" s="190" customFormat="1" ht="15.75" customHeight="1" x14ac:dyDescent="0.25">
      <c r="B216" s="392"/>
      <c r="C216" s="393"/>
      <c r="D216" s="247">
        <v>2018</v>
      </c>
      <c r="E216" s="247"/>
      <c r="F216" s="247" t="s">
        <v>17</v>
      </c>
      <c r="G216" s="247"/>
      <c r="H216" s="247">
        <v>1</v>
      </c>
      <c r="I216" s="395"/>
      <c r="J216" s="398"/>
    </row>
    <row r="217" spans="2:10" s="190" customFormat="1" ht="15.75" customHeight="1" x14ac:dyDescent="0.25">
      <c r="B217" s="392"/>
      <c r="C217" s="393"/>
      <c r="D217" s="247">
        <v>2019</v>
      </c>
      <c r="E217" s="247"/>
      <c r="F217" s="247" t="s">
        <v>17</v>
      </c>
      <c r="G217" s="247"/>
      <c r="H217" s="247">
        <v>1</v>
      </c>
      <c r="I217" s="396"/>
      <c r="J217" s="399"/>
    </row>
    <row r="218" spans="2:10" s="190" customFormat="1" ht="15.75" customHeight="1" x14ac:dyDescent="0.25">
      <c r="B218" s="392" t="s">
        <v>455</v>
      </c>
      <c r="C218" s="393" t="s">
        <v>456</v>
      </c>
      <c r="D218" s="247">
        <v>2017</v>
      </c>
      <c r="E218" s="247"/>
      <c r="F218" s="247"/>
      <c r="G218" s="247"/>
      <c r="H218" s="247">
        <v>0</v>
      </c>
      <c r="I218" s="394" t="s">
        <v>26</v>
      </c>
      <c r="J218" s="397" t="s">
        <v>26</v>
      </c>
    </row>
    <row r="219" spans="2:10" s="190" customFormat="1" ht="15.75" customHeight="1" x14ac:dyDescent="0.25">
      <c r="B219" s="392"/>
      <c r="C219" s="393"/>
      <c r="D219" s="247">
        <v>2018</v>
      </c>
      <c r="E219" s="247"/>
      <c r="F219" s="247"/>
      <c r="G219" s="247"/>
      <c r="H219" s="247">
        <v>0</v>
      </c>
      <c r="I219" s="395"/>
      <c r="J219" s="398"/>
    </row>
    <row r="220" spans="2:10" s="190" customFormat="1" ht="15.75" customHeight="1" x14ac:dyDescent="0.25">
      <c r="B220" s="392"/>
      <c r="C220" s="393"/>
      <c r="D220" s="247">
        <v>2019</v>
      </c>
      <c r="E220" s="247"/>
      <c r="F220" s="247"/>
      <c r="G220" s="247"/>
      <c r="H220" s="247">
        <v>0</v>
      </c>
      <c r="I220" s="396"/>
      <c r="J220" s="399"/>
    </row>
    <row r="221" spans="2:10" s="190" customFormat="1" ht="15.75" customHeight="1" x14ac:dyDescent="0.25">
      <c r="B221" s="392" t="s">
        <v>459</v>
      </c>
      <c r="C221" s="393" t="s">
        <v>460</v>
      </c>
      <c r="D221" s="247">
        <v>2017</v>
      </c>
      <c r="E221" s="247"/>
      <c r="F221" s="247"/>
      <c r="G221" s="247"/>
      <c r="H221" s="247">
        <v>0</v>
      </c>
      <c r="I221" s="394" t="s">
        <v>26</v>
      </c>
      <c r="J221" s="397" t="s">
        <v>26</v>
      </c>
    </row>
    <row r="222" spans="2:10" s="190" customFormat="1" ht="15.75" customHeight="1" x14ac:dyDescent="0.25">
      <c r="B222" s="392"/>
      <c r="C222" s="393"/>
      <c r="D222" s="247">
        <v>2018</v>
      </c>
      <c r="E222" s="247"/>
      <c r="F222" s="247"/>
      <c r="G222" s="247"/>
      <c r="H222" s="247">
        <v>0</v>
      </c>
      <c r="I222" s="395"/>
      <c r="J222" s="398"/>
    </row>
    <row r="223" spans="2:10" s="190" customFormat="1" ht="15.75" customHeight="1" x14ac:dyDescent="0.25">
      <c r="B223" s="392"/>
      <c r="C223" s="393"/>
      <c r="D223" s="247">
        <v>2019</v>
      </c>
      <c r="E223" s="247"/>
      <c r="F223" s="247"/>
      <c r="G223" s="247"/>
      <c r="H223" s="247">
        <v>0</v>
      </c>
      <c r="I223" s="396"/>
      <c r="J223" s="399"/>
    </row>
    <row r="224" spans="2:10" s="190" customFormat="1" ht="15.75" customHeight="1" x14ac:dyDescent="0.25">
      <c r="B224" s="392" t="s">
        <v>465</v>
      </c>
      <c r="C224" s="393" t="s">
        <v>466</v>
      </c>
      <c r="D224" s="247">
        <v>2017</v>
      </c>
      <c r="E224" s="247"/>
      <c r="F224" s="247" t="s">
        <v>17</v>
      </c>
      <c r="G224" s="247"/>
      <c r="H224" s="247">
        <v>1</v>
      </c>
      <c r="I224" s="394" t="s">
        <v>975</v>
      </c>
      <c r="J224" s="397" t="s">
        <v>976</v>
      </c>
    </row>
    <row r="225" spans="2:10" s="190" customFormat="1" ht="15.75" customHeight="1" x14ac:dyDescent="0.25">
      <c r="B225" s="392"/>
      <c r="C225" s="393"/>
      <c r="D225" s="247">
        <v>2018</v>
      </c>
      <c r="E225" s="247"/>
      <c r="F225" s="247" t="s">
        <v>17</v>
      </c>
      <c r="G225" s="247"/>
      <c r="H225" s="247">
        <v>1</v>
      </c>
      <c r="I225" s="395"/>
      <c r="J225" s="398"/>
    </row>
    <row r="226" spans="2:10" s="190" customFormat="1" ht="15.75" customHeight="1" x14ac:dyDescent="0.25">
      <c r="B226" s="392"/>
      <c r="C226" s="393"/>
      <c r="D226" s="247">
        <v>2019</v>
      </c>
      <c r="E226" s="247"/>
      <c r="F226" s="247" t="s">
        <v>17</v>
      </c>
      <c r="G226" s="247"/>
      <c r="H226" s="247">
        <v>1</v>
      </c>
      <c r="I226" s="396"/>
      <c r="J226" s="399"/>
    </row>
    <row r="227" spans="2:10" s="190" customFormat="1" ht="15.75" customHeight="1" x14ac:dyDescent="0.25">
      <c r="B227" s="392" t="s">
        <v>471</v>
      </c>
      <c r="C227" s="393" t="s">
        <v>472</v>
      </c>
      <c r="D227" s="247">
        <v>2017</v>
      </c>
      <c r="E227" s="247"/>
      <c r="F227" s="247"/>
      <c r="G227" s="247"/>
      <c r="H227" s="247">
        <v>0</v>
      </c>
      <c r="I227" s="394" t="s">
        <v>26</v>
      </c>
      <c r="J227" s="397" t="s">
        <v>26</v>
      </c>
    </row>
    <row r="228" spans="2:10" s="190" customFormat="1" ht="15.75" customHeight="1" x14ac:dyDescent="0.25">
      <c r="B228" s="392"/>
      <c r="C228" s="393"/>
      <c r="D228" s="247">
        <v>2018</v>
      </c>
      <c r="E228" s="247"/>
      <c r="F228" s="247"/>
      <c r="G228" s="247"/>
      <c r="H228" s="247">
        <v>0</v>
      </c>
      <c r="I228" s="395"/>
      <c r="J228" s="398"/>
    </row>
    <row r="229" spans="2:10" s="190" customFormat="1" ht="15.75" customHeight="1" x14ac:dyDescent="0.25">
      <c r="B229" s="392"/>
      <c r="C229" s="393"/>
      <c r="D229" s="247">
        <v>2019</v>
      </c>
      <c r="E229" s="247"/>
      <c r="F229" s="247"/>
      <c r="G229" s="247"/>
      <c r="H229" s="247">
        <v>0</v>
      </c>
      <c r="I229" s="396"/>
      <c r="J229" s="399"/>
    </row>
    <row r="230" spans="2:10" s="190" customFormat="1" ht="15.75" customHeight="1" x14ac:dyDescent="0.25">
      <c r="B230" s="392" t="s">
        <v>475</v>
      </c>
      <c r="C230" s="393" t="s">
        <v>476</v>
      </c>
      <c r="D230" s="247">
        <v>2017</v>
      </c>
      <c r="E230" s="247"/>
      <c r="F230" s="247"/>
      <c r="G230" s="247"/>
      <c r="H230" s="247">
        <v>0</v>
      </c>
      <c r="I230" s="394" t="s">
        <v>26</v>
      </c>
      <c r="J230" s="397" t="s">
        <v>26</v>
      </c>
    </row>
    <row r="231" spans="2:10" s="190" customFormat="1" ht="15.75" customHeight="1" x14ac:dyDescent="0.25">
      <c r="B231" s="392"/>
      <c r="C231" s="393"/>
      <c r="D231" s="247">
        <v>2018</v>
      </c>
      <c r="E231" s="247"/>
      <c r="F231" s="247"/>
      <c r="G231" s="247"/>
      <c r="H231" s="247">
        <v>0</v>
      </c>
      <c r="I231" s="395"/>
      <c r="J231" s="398"/>
    </row>
    <row r="232" spans="2:10" s="190" customFormat="1" ht="15.75" customHeight="1" x14ac:dyDescent="0.25">
      <c r="B232" s="392"/>
      <c r="C232" s="393"/>
      <c r="D232" s="247">
        <v>2019</v>
      </c>
      <c r="E232" s="247"/>
      <c r="F232" s="247"/>
      <c r="G232" s="247"/>
      <c r="H232" s="247">
        <v>0</v>
      </c>
      <c r="I232" s="396"/>
      <c r="J232" s="399"/>
    </row>
    <row r="233" spans="2:10" s="190" customFormat="1" ht="15.75" customHeight="1" x14ac:dyDescent="0.25">
      <c r="B233" s="392" t="s">
        <v>479</v>
      </c>
      <c r="C233" s="393" t="s">
        <v>480</v>
      </c>
      <c r="D233" s="247">
        <v>2017</v>
      </c>
      <c r="E233" s="247"/>
      <c r="F233" s="247"/>
      <c r="G233" s="247"/>
      <c r="H233" s="247">
        <v>0</v>
      </c>
      <c r="I233" s="394" t="s">
        <v>26</v>
      </c>
      <c r="J233" s="397" t="s">
        <v>26</v>
      </c>
    </row>
    <row r="234" spans="2:10" s="190" customFormat="1" ht="15.75" customHeight="1" x14ac:dyDescent="0.25">
      <c r="B234" s="392"/>
      <c r="C234" s="393"/>
      <c r="D234" s="247">
        <v>2018</v>
      </c>
      <c r="E234" s="247"/>
      <c r="F234" s="247"/>
      <c r="G234" s="247"/>
      <c r="H234" s="247">
        <v>0</v>
      </c>
      <c r="I234" s="395"/>
      <c r="J234" s="398"/>
    </row>
    <row r="235" spans="2:10" s="190" customFormat="1" ht="15.75" customHeight="1" x14ac:dyDescent="0.25">
      <c r="B235" s="392"/>
      <c r="C235" s="393"/>
      <c r="D235" s="247">
        <v>2019</v>
      </c>
      <c r="E235" s="247"/>
      <c r="F235" s="247"/>
      <c r="G235" s="247"/>
      <c r="H235" s="247">
        <v>0</v>
      </c>
      <c r="I235" s="396"/>
      <c r="J235" s="399"/>
    </row>
    <row r="236" spans="2:10" s="190" customFormat="1" ht="15.75" customHeight="1" x14ac:dyDescent="0.25">
      <c r="B236" s="392" t="s">
        <v>487</v>
      </c>
      <c r="C236" s="393" t="s">
        <v>488</v>
      </c>
      <c r="D236" s="247">
        <v>2017</v>
      </c>
      <c r="E236" s="247"/>
      <c r="F236" s="247"/>
      <c r="G236" s="247"/>
      <c r="H236" s="247">
        <v>0</v>
      </c>
      <c r="I236" s="394" t="s">
        <v>26</v>
      </c>
      <c r="J236" s="397" t="s">
        <v>26</v>
      </c>
    </row>
    <row r="237" spans="2:10" s="190" customFormat="1" ht="15.75" customHeight="1" x14ac:dyDescent="0.25">
      <c r="B237" s="392"/>
      <c r="C237" s="393"/>
      <c r="D237" s="247">
        <v>2018</v>
      </c>
      <c r="E237" s="247"/>
      <c r="F237" s="247"/>
      <c r="G237" s="247"/>
      <c r="H237" s="247">
        <v>0</v>
      </c>
      <c r="I237" s="395"/>
      <c r="J237" s="398"/>
    </row>
    <row r="238" spans="2:10" s="190" customFormat="1" ht="15.75" customHeight="1" x14ac:dyDescent="0.25">
      <c r="B238" s="392"/>
      <c r="C238" s="393"/>
      <c r="D238" s="247">
        <v>2019</v>
      </c>
      <c r="E238" s="247"/>
      <c r="F238" s="247"/>
      <c r="G238" s="247"/>
      <c r="H238" s="247">
        <v>0</v>
      </c>
      <c r="I238" s="396"/>
      <c r="J238" s="399"/>
    </row>
    <row r="239" spans="2:10" s="190" customFormat="1" ht="15.75" customHeight="1" x14ac:dyDescent="0.25">
      <c r="B239" s="392" t="s">
        <v>491</v>
      </c>
      <c r="C239" s="393" t="s">
        <v>492</v>
      </c>
      <c r="D239" s="247">
        <v>2017</v>
      </c>
      <c r="E239" s="247"/>
      <c r="F239" s="247" t="s">
        <v>17</v>
      </c>
      <c r="G239" s="247"/>
      <c r="H239" s="247">
        <v>1</v>
      </c>
      <c r="I239" s="392" t="s">
        <v>977</v>
      </c>
      <c r="J239" s="393" t="s">
        <v>978</v>
      </c>
    </row>
    <row r="240" spans="2:10" s="190" customFormat="1" ht="15.75" customHeight="1" x14ac:dyDescent="0.25">
      <c r="B240" s="392"/>
      <c r="C240" s="393"/>
      <c r="D240" s="247">
        <v>2018</v>
      </c>
      <c r="E240" s="247"/>
      <c r="F240" s="247" t="s">
        <v>17</v>
      </c>
      <c r="G240" s="247"/>
      <c r="H240" s="247">
        <v>1</v>
      </c>
      <c r="I240" s="392"/>
      <c r="J240" s="393"/>
    </row>
    <row r="241" spans="2:10" s="190" customFormat="1" ht="15.75" customHeight="1" x14ac:dyDescent="0.25">
      <c r="B241" s="392"/>
      <c r="C241" s="393"/>
      <c r="D241" s="247">
        <v>2019</v>
      </c>
      <c r="E241" s="247"/>
      <c r="F241" s="247" t="s">
        <v>17</v>
      </c>
      <c r="G241" s="247"/>
      <c r="H241" s="247">
        <v>1</v>
      </c>
      <c r="I241" s="392"/>
      <c r="J241" s="393"/>
    </row>
    <row r="242" spans="2:10" s="190" customFormat="1" ht="15.75" customHeight="1" x14ac:dyDescent="0.25">
      <c r="B242" s="392" t="s">
        <v>502</v>
      </c>
      <c r="C242" s="393" t="s">
        <v>503</v>
      </c>
      <c r="D242" s="247">
        <v>2017</v>
      </c>
      <c r="E242" s="247"/>
      <c r="F242" s="247"/>
      <c r="G242" s="247"/>
      <c r="H242" s="247">
        <v>0</v>
      </c>
      <c r="I242" s="394" t="s">
        <v>26</v>
      </c>
      <c r="J242" s="397" t="s">
        <v>26</v>
      </c>
    </row>
    <row r="243" spans="2:10" s="190" customFormat="1" ht="15.75" customHeight="1" x14ac:dyDescent="0.25">
      <c r="B243" s="392"/>
      <c r="C243" s="393"/>
      <c r="D243" s="247">
        <v>2018</v>
      </c>
      <c r="E243" s="247"/>
      <c r="F243" s="247"/>
      <c r="G243" s="247"/>
      <c r="H243" s="247">
        <v>0</v>
      </c>
      <c r="I243" s="395"/>
      <c r="J243" s="398"/>
    </row>
    <row r="244" spans="2:10" s="190" customFormat="1" ht="15.75" customHeight="1" x14ac:dyDescent="0.25">
      <c r="B244" s="392"/>
      <c r="C244" s="393"/>
      <c r="D244" s="247">
        <v>2019</v>
      </c>
      <c r="E244" s="247"/>
      <c r="F244" s="247"/>
      <c r="G244" s="247"/>
      <c r="H244" s="247">
        <v>0</v>
      </c>
      <c r="I244" s="396"/>
      <c r="J244" s="399"/>
    </row>
    <row r="245" spans="2:10" s="190" customFormat="1" ht="15.75" customHeight="1" x14ac:dyDescent="0.25">
      <c r="B245" s="392" t="s">
        <v>506</v>
      </c>
      <c r="C245" s="393" t="s">
        <v>507</v>
      </c>
      <c r="D245" s="247">
        <v>2017</v>
      </c>
      <c r="E245" s="247"/>
      <c r="F245" s="247" t="s">
        <v>17</v>
      </c>
      <c r="G245" s="247"/>
      <c r="H245" s="247">
        <v>1</v>
      </c>
      <c r="I245" s="394" t="s">
        <v>979</v>
      </c>
      <c r="J245" s="397" t="s">
        <v>980</v>
      </c>
    </row>
    <row r="246" spans="2:10" s="190" customFormat="1" ht="15.75" customHeight="1" x14ac:dyDescent="0.25">
      <c r="B246" s="392"/>
      <c r="C246" s="393"/>
      <c r="D246" s="247">
        <v>2018</v>
      </c>
      <c r="E246" s="247"/>
      <c r="F246" s="247" t="s">
        <v>17</v>
      </c>
      <c r="G246" s="247"/>
      <c r="H246" s="247">
        <v>1</v>
      </c>
      <c r="I246" s="395"/>
      <c r="J246" s="398"/>
    </row>
    <row r="247" spans="2:10" s="190" customFormat="1" ht="15.75" customHeight="1" x14ac:dyDescent="0.25">
      <c r="B247" s="392"/>
      <c r="C247" s="393"/>
      <c r="D247" s="247">
        <v>2019</v>
      </c>
      <c r="E247" s="247"/>
      <c r="F247" s="247" t="s">
        <v>17</v>
      </c>
      <c r="G247" s="247"/>
      <c r="H247" s="247">
        <v>1</v>
      </c>
      <c r="I247" s="396"/>
      <c r="J247" s="399"/>
    </row>
    <row r="248" spans="2:10" s="132" customFormat="1" ht="15.75" customHeight="1" x14ac:dyDescent="0.25">
      <c r="B248" s="457" t="s">
        <v>514</v>
      </c>
      <c r="C248" s="456" t="s">
        <v>515</v>
      </c>
      <c r="D248" s="92">
        <v>2017</v>
      </c>
      <c r="E248" s="92"/>
      <c r="F248" s="92" t="s">
        <v>17</v>
      </c>
      <c r="G248" s="92"/>
      <c r="H248" s="92">
        <v>1</v>
      </c>
      <c r="I248" s="386" t="s">
        <v>957</v>
      </c>
      <c r="J248" s="389" t="s">
        <v>981</v>
      </c>
    </row>
    <row r="249" spans="2:10" s="132" customFormat="1" ht="15.75" customHeight="1" x14ac:dyDescent="0.25">
      <c r="B249" s="457"/>
      <c r="C249" s="456"/>
      <c r="D249" s="92">
        <v>2018</v>
      </c>
      <c r="E249" s="92"/>
      <c r="F249" s="92" t="s">
        <v>17</v>
      </c>
      <c r="G249" s="92"/>
      <c r="H249" s="92">
        <v>1</v>
      </c>
      <c r="I249" s="387"/>
      <c r="J249" s="390"/>
    </row>
    <row r="250" spans="2:10" s="132" customFormat="1" ht="15.75" customHeight="1" x14ac:dyDescent="0.25">
      <c r="B250" s="457"/>
      <c r="C250" s="456"/>
      <c r="D250" s="92">
        <v>2019</v>
      </c>
      <c r="E250" s="92"/>
      <c r="F250" s="92" t="s">
        <v>17</v>
      </c>
      <c r="G250" s="92"/>
      <c r="H250" s="92">
        <v>1</v>
      </c>
      <c r="I250" s="388"/>
      <c r="J250" s="391"/>
    </row>
    <row r="251" spans="2:10" s="132" customFormat="1" ht="15.75" customHeight="1" x14ac:dyDescent="0.25">
      <c r="B251" s="457" t="s">
        <v>518</v>
      </c>
      <c r="C251" s="456" t="s">
        <v>519</v>
      </c>
      <c r="D251" s="92">
        <v>2017</v>
      </c>
      <c r="E251" s="92" t="s">
        <v>17</v>
      </c>
      <c r="F251" s="92"/>
      <c r="G251" s="92"/>
      <c r="H251" s="92">
        <v>1</v>
      </c>
      <c r="I251" s="386" t="s">
        <v>983</v>
      </c>
      <c r="J251" s="389" t="s">
        <v>982</v>
      </c>
    </row>
    <row r="252" spans="2:10" s="132" customFormat="1" ht="15.75" customHeight="1" x14ac:dyDescent="0.25">
      <c r="B252" s="457"/>
      <c r="C252" s="456"/>
      <c r="D252" s="92">
        <v>2018</v>
      </c>
      <c r="E252" s="92" t="s">
        <v>17</v>
      </c>
      <c r="F252" s="92"/>
      <c r="G252" s="92"/>
      <c r="H252" s="92">
        <v>1</v>
      </c>
      <c r="I252" s="387"/>
      <c r="J252" s="390"/>
    </row>
    <row r="253" spans="2:10" s="132" customFormat="1" ht="15.75" customHeight="1" x14ac:dyDescent="0.25">
      <c r="B253" s="457"/>
      <c r="C253" s="456"/>
      <c r="D253" s="92">
        <v>2019</v>
      </c>
      <c r="E253" s="92" t="s">
        <v>17</v>
      </c>
      <c r="F253" s="92"/>
      <c r="G253" s="92"/>
      <c r="H253" s="92">
        <v>1</v>
      </c>
      <c r="I253" s="388"/>
      <c r="J253" s="391"/>
    </row>
    <row r="254" spans="2:10" s="132" customFormat="1" ht="15.75" customHeight="1" x14ac:dyDescent="0.25">
      <c r="B254" s="457" t="s">
        <v>522</v>
      </c>
      <c r="C254" s="456" t="s">
        <v>523</v>
      </c>
      <c r="D254" s="92">
        <v>2017</v>
      </c>
      <c r="E254" s="92"/>
      <c r="F254" s="92" t="s">
        <v>17</v>
      </c>
      <c r="G254" s="92"/>
      <c r="H254" s="92">
        <v>1</v>
      </c>
      <c r="I254" s="386" t="s">
        <v>979</v>
      </c>
      <c r="J254" s="389" t="s">
        <v>980</v>
      </c>
    </row>
    <row r="255" spans="2:10" s="132" customFormat="1" ht="15.75" customHeight="1" x14ac:dyDescent="0.25">
      <c r="B255" s="457"/>
      <c r="C255" s="456"/>
      <c r="D255" s="92">
        <v>2018</v>
      </c>
      <c r="E255" s="92"/>
      <c r="F255" s="92" t="s">
        <v>17</v>
      </c>
      <c r="G255" s="92"/>
      <c r="H255" s="92">
        <v>1</v>
      </c>
      <c r="I255" s="387"/>
      <c r="J255" s="390"/>
    </row>
    <row r="256" spans="2:10" s="132" customFormat="1" ht="15.75" customHeight="1" x14ac:dyDescent="0.25">
      <c r="B256" s="457"/>
      <c r="C256" s="456"/>
      <c r="D256" s="92">
        <v>2019</v>
      </c>
      <c r="E256" s="92"/>
      <c r="F256" s="92" t="s">
        <v>17</v>
      </c>
      <c r="G256" s="92"/>
      <c r="H256" s="92">
        <v>1</v>
      </c>
      <c r="I256" s="388"/>
      <c r="J256" s="391"/>
    </row>
    <row r="257" spans="2:10" s="132" customFormat="1" ht="15.75" customHeight="1" x14ac:dyDescent="0.25">
      <c r="B257" s="457" t="s">
        <v>526</v>
      </c>
      <c r="C257" s="456" t="s">
        <v>527</v>
      </c>
      <c r="D257" s="92">
        <v>2017</v>
      </c>
      <c r="E257" s="92"/>
      <c r="F257" s="92"/>
      <c r="G257" s="92"/>
      <c r="H257" s="92">
        <v>0</v>
      </c>
      <c r="I257" s="386" t="s">
        <v>26</v>
      </c>
      <c r="J257" s="389" t="s">
        <v>26</v>
      </c>
    </row>
    <row r="258" spans="2:10" s="132" customFormat="1" ht="15.75" customHeight="1" x14ac:dyDescent="0.25">
      <c r="B258" s="457"/>
      <c r="C258" s="456"/>
      <c r="D258" s="92">
        <v>2018</v>
      </c>
      <c r="E258" s="92"/>
      <c r="F258" s="92"/>
      <c r="G258" s="92"/>
      <c r="H258" s="92">
        <v>0</v>
      </c>
      <c r="I258" s="387"/>
      <c r="J258" s="390"/>
    </row>
    <row r="259" spans="2:10" s="132" customFormat="1" ht="15.75" customHeight="1" x14ac:dyDescent="0.25">
      <c r="B259" s="457"/>
      <c r="C259" s="456"/>
      <c r="D259" s="92">
        <v>2019</v>
      </c>
      <c r="E259" s="92"/>
      <c r="F259" s="92"/>
      <c r="G259" s="92"/>
      <c r="H259" s="92">
        <v>0</v>
      </c>
      <c r="I259" s="388"/>
      <c r="J259" s="391"/>
    </row>
    <row r="260" spans="2:10" s="132" customFormat="1" ht="15.75" customHeight="1" x14ac:dyDescent="0.25">
      <c r="B260" s="457" t="s">
        <v>531</v>
      </c>
      <c r="C260" s="456" t="s">
        <v>532</v>
      </c>
      <c r="D260" s="92">
        <v>2017</v>
      </c>
      <c r="E260" s="92"/>
      <c r="F260" s="92"/>
      <c r="G260" s="92"/>
      <c r="H260" s="92">
        <v>0</v>
      </c>
      <c r="I260" s="386" t="s">
        <v>26</v>
      </c>
      <c r="J260" s="389" t="s">
        <v>26</v>
      </c>
    </row>
    <row r="261" spans="2:10" s="132" customFormat="1" ht="15.75" customHeight="1" x14ac:dyDescent="0.25">
      <c r="B261" s="457"/>
      <c r="C261" s="456"/>
      <c r="D261" s="92">
        <v>2018</v>
      </c>
      <c r="E261" s="92"/>
      <c r="F261" s="92"/>
      <c r="G261" s="92"/>
      <c r="H261" s="92">
        <v>0</v>
      </c>
      <c r="I261" s="387"/>
      <c r="J261" s="390"/>
    </row>
    <row r="262" spans="2:10" s="132" customFormat="1" ht="15.75" customHeight="1" x14ac:dyDescent="0.25">
      <c r="B262" s="457"/>
      <c r="C262" s="456"/>
      <c r="D262" s="92">
        <v>2019</v>
      </c>
      <c r="E262" s="92"/>
      <c r="F262" s="92"/>
      <c r="G262" s="92"/>
      <c r="H262" s="92">
        <v>0</v>
      </c>
      <c r="I262" s="388"/>
      <c r="J262" s="391"/>
    </row>
    <row r="263" spans="2:10" s="132" customFormat="1" ht="15.75" customHeight="1" x14ac:dyDescent="0.25">
      <c r="B263" s="457" t="s">
        <v>536</v>
      </c>
      <c r="C263" s="456" t="s">
        <v>537</v>
      </c>
      <c r="D263" s="92">
        <v>2017</v>
      </c>
      <c r="E263" s="92"/>
      <c r="F263" s="92"/>
      <c r="G263" s="92"/>
      <c r="H263" s="92">
        <v>1</v>
      </c>
      <c r="I263" s="386" t="s">
        <v>986</v>
      </c>
      <c r="J263" s="389" t="s">
        <v>987</v>
      </c>
    </row>
    <row r="264" spans="2:10" s="132" customFormat="1" ht="15.75" customHeight="1" x14ac:dyDescent="0.25">
      <c r="B264" s="457"/>
      <c r="C264" s="456"/>
      <c r="D264" s="92">
        <v>2018</v>
      </c>
      <c r="E264" s="92"/>
      <c r="F264" s="92"/>
      <c r="G264" s="92"/>
      <c r="H264" s="92">
        <v>1</v>
      </c>
      <c r="I264" s="387"/>
      <c r="J264" s="390"/>
    </row>
    <row r="265" spans="2:10" s="132" customFormat="1" x14ac:dyDescent="0.25">
      <c r="B265" s="457"/>
      <c r="C265" s="456"/>
      <c r="D265" s="92">
        <v>2019</v>
      </c>
      <c r="E265" s="92"/>
      <c r="F265" s="92"/>
      <c r="G265" s="92"/>
      <c r="H265" s="92">
        <v>1</v>
      </c>
      <c r="I265" s="388"/>
      <c r="J265" s="391"/>
    </row>
    <row r="266" spans="2:10" s="132" customFormat="1" ht="15.75" customHeight="1" x14ac:dyDescent="0.25">
      <c r="B266" s="457" t="s">
        <v>540</v>
      </c>
      <c r="C266" s="456" t="s">
        <v>541</v>
      </c>
      <c r="D266" s="92">
        <v>2017</v>
      </c>
      <c r="E266" s="92"/>
      <c r="F266" s="92"/>
      <c r="G266" s="92"/>
      <c r="H266" s="92">
        <v>0</v>
      </c>
      <c r="I266" s="386" t="s">
        <v>26</v>
      </c>
      <c r="J266" s="389" t="s">
        <v>26</v>
      </c>
    </row>
    <row r="267" spans="2:10" s="132" customFormat="1" ht="15.75" customHeight="1" x14ac:dyDescent="0.25">
      <c r="B267" s="457"/>
      <c r="C267" s="456"/>
      <c r="D267" s="92">
        <v>2018</v>
      </c>
      <c r="E267" s="92"/>
      <c r="F267" s="92"/>
      <c r="G267" s="92"/>
      <c r="H267" s="92">
        <v>0</v>
      </c>
      <c r="I267" s="388"/>
      <c r="J267" s="391"/>
    </row>
    <row r="268" spans="2:10" s="132" customFormat="1" ht="15.75" customHeight="1" x14ac:dyDescent="0.25">
      <c r="B268" s="457"/>
      <c r="C268" s="456"/>
      <c r="D268" s="92">
        <v>2019</v>
      </c>
      <c r="E268" s="92"/>
      <c r="F268" s="92" t="s">
        <v>17</v>
      </c>
      <c r="G268" s="92"/>
      <c r="H268" s="92">
        <v>1</v>
      </c>
      <c r="I268" s="92" t="s">
        <v>984</v>
      </c>
      <c r="J268" s="251" t="s">
        <v>985</v>
      </c>
    </row>
    <row r="269" spans="2:10" s="132" customFormat="1" ht="15.75" customHeight="1" x14ac:dyDescent="0.25">
      <c r="B269" s="457" t="s">
        <v>542</v>
      </c>
      <c r="C269" s="456" t="s">
        <v>543</v>
      </c>
      <c r="D269" s="92">
        <v>2017</v>
      </c>
      <c r="E269" s="92"/>
      <c r="F269" s="92"/>
      <c r="G269" s="92"/>
      <c r="H269" s="92">
        <v>0</v>
      </c>
      <c r="I269" s="386" t="s">
        <v>26</v>
      </c>
      <c r="J269" s="389" t="s">
        <v>26</v>
      </c>
    </row>
    <row r="270" spans="2:10" s="132" customFormat="1" ht="15.75" customHeight="1" x14ac:dyDescent="0.25">
      <c r="B270" s="457"/>
      <c r="C270" s="456"/>
      <c r="D270" s="92">
        <v>2018</v>
      </c>
      <c r="E270" s="92"/>
      <c r="F270" s="92"/>
      <c r="G270" s="92"/>
      <c r="H270" s="92">
        <v>0</v>
      </c>
      <c r="I270" s="387"/>
      <c r="J270" s="390"/>
    </row>
    <row r="271" spans="2:10" s="132" customFormat="1" ht="15.75" customHeight="1" x14ac:dyDescent="0.25">
      <c r="B271" s="457"/>
      <c r="C271" s="456"/>
      <c r="D271" s="92">
        <v>2019</v>
      </c>
      <c r="E271" s="92"/>
      <c r="F271" s="92"/>
      <c r="G271" s="92"/>
      <c r="H271" s="92">
        <v>0</v>
      </c>
      <c r="I271" s="388"/>
      <c r="J271" s="391"/>
    </row>
    <row r="272" spans="2:10" s="132" customFormat="1" ht="15.75" customHeight="1" x14ac:dyDescent="0.25">
      <c r="B272" s="457" t="s">
        <v>546</v>
      </c>
      <c r="C272" s="456" t="s">
        <v>547</v>
      </c>
      <c r="D272" s="92">
        <v>2017</v>
      </c>
      <c r="E272" s="92"/>
      <c r="F272" s="92"/>
      <c r="G272" s="92"/>
      <c r="H272" s="92">
        <v>0</v>
      </c>
      <c r="I272" s="386" t="s">
        <v>26</v>
      </c>
      <c r="J272" s="389" t="s">
        <v>26</v>
      </c>
    </row>
    <row r="273" spans="2:10" s="132" customFormat="1" ht="15.75" customHeight="1" x14ac:dyDescent="0.25">
      <c r="B273" s="457"/>
      <c r="C273" s="456"/>
      <c r="D273" s="92">
        <v>2018</v>
      </c>
      <c r="E273" s="92"/>
      <c r="F273" s="92"/>
      <c r="G273" s="92"/>
      <c r="H273" s="92">
        <v>0</v>
      </c>
      <c r="I273" s="387"/>
      <c r="J273" s="390"/>
    </row>
    <row r="274" spans="2:10" s="132" customFormat="1" ht="15.75" customHeight="1" x14ac:dyDescent="0.25">
      <c r="B274" s="457"/>
      <c r="C274" s="456"/>
      <c r="D274" s="92">
        <v>2019</v>
      </c>
      <c r="E274" s="92"/>
      <c r="F274" s="92"/>
      <c r="G274" s="92"/>
      <c r="H274" s="92">
        <v>0</v>
      </c>
      <c r="I274" s="388"/>
      <c r="J274" s="391"/>
    </row>
    <row r="275" spans="2:10" s="132" customFormat="1" ht="15.75" customHeight="1" x14ac:dyDescent="0.25">
      <c r="B275" s="457" t="s">
        <v>549</v>
      </c>
      <c r="C275" s="456" t="s">
        <v>550</v>
      </c>
      <c r="D275" s="92">
        <v>2017</v>
      </c>
      <c r="E275" s="92"/>
      <c r="F275" s="92"/>
      <c r="G275" s="92"/>
      <c r="H275" s="92">
        <v>0</v>
      </c>
      <c r="I275" s="386" t="s">
        <v>26</v>
      </c>
      <c r="J275" s="389" t="s">
        <v>26</v>
      </c>
    </row>
    <row r="276" spans="2:10" s="132" customFormat="1" ht="15.75" customHeight="1" x14ac:dyDescent="0.25">
      <c r="B276" s="457"/>
      <c r="C276" s="456"/>
      <c r="D276" s="92">
        <v>2018</v>
      </c>
      <c r="E276" s="92"/>
      <c r="F276" s="92"/>
      <c r="G276" s="92"/>
      <c r="H276" s="92">
        <v>0</v>
      </c>
      <c r="I276" s="387"/>
      <c r="J276" s="390"/>
    </row>
    <row r="277" spans="2:10" s="132" customFormat="1" ht="15.75" customHeight="1" x14ac:dyDescent="0.25">
      <c r="B277" s="457"/>
      <c r="C277" s="456"/>
      <c r="D277" s="92">
        <v>2019</v>
      </c>
      <c r="E277" s="92"/>
      <c r="F277" s="92"/>
      <c r="G277" s="92"/>
      <c r="H277" s="92">
        <v>0</v>
      </c>
      <c r="I277" s="388"/>
      <c r="J277" s="391"/>
    </row>
    <row r="278" spans="2:10" s="132" customFormat="1" ht="15.75" customHeight="1" x14ac:dyDescent="0.25">
      <c r="B278" s="457" t="s">
        <v>557</v>
      </c>
      <c r="C278" s="456" t="s">
        <v>558</v>
      </c>
      <c r="D278" s="92">
        <v>2017</v>
      </c>
      <c r="E278" s="92"/>
      <c r="F278" s="92" t="s">
        <v>966</v>
      </c>
      <c r="G278" s="92"/>
      <c r="H278" s="92">
        <v>1</v>
      </c>
      <c r="I278" s="386" t="s">
        <v>988</v>
      </c>
      <c r="J278" s="389" t="s">
        <v>989</v>
      </c>
    </row>
    <row r="279" spans="2:10" s="132" customFormat="1" ht="15.75" customHeight="1" x14ac:dyDescent="0.25">
      <c r="B279" s="457"/>
      <c r="C279" s="456"/>
      <c r="D279" s="92">
        <v>2018</v>
      </c>
      <c r="E279" s="92"/>
      <c r="F279" s="92" t="s">
        <v>966</v>
      </c>
      <c r="G279" s="92"/>
      <c r="H279" s="92">
        <v>1</v>
      </c>
      <c r="I279" s="387"/>
      <c r="J279" s="390"/>
    </row>
    <row r="280" spans="2:10" s="132" customFormat="1" ht="15.75" customHeight="1" x14ac:dyDescent="0.25">
      <c r="B280" s="457"/>
      <c r="C280" s="456"/>
      <c r="D280" s="92">
        <v>2019</v>
      </c>
      <c r="E280" s="92"/>
      <c r="F280" s="92" t="s">
        <v>966</v>
      </c>
      <c r="G280" s="92"/>
      <c r="H280" s="92">
        <v>1</v>
      </c>
      <c r="I280" s="388"/>
      <c r="J280" s="391"/>
    </row>
    <row r="281" spans="2:10" s="132" customFormat="1" ht="15.75" customHeight="1" x14ac:dyDescent="0.25">
      <c r="B281" s="457" t="s">
        <v>562</v>
      </c>
      <c r="C281" s="456" t="s">
        <v>563</v>
      </c>
      <c r="D281" s="92">
        <v>2017</v>
      </c>
      <c r="E281" s="92"/>
      <c r="F281" s="92"/>
      <c r="G281" s="92"/>
      <c r="H281" s="92">
        <v>0</v>
      </c>
      <c r="I281" s="386" t="s">
        <v>26</v>
      </c>
      <c r="J281" s="389" t="s">
        <v>26</v>
      </c>
    </row>
    <row r="282" spans="2:10" s="132" customFormat="1" ht="15.75" customHeight="1" x14ac:dyDescent="0.25">
      <c r="B282" s="457"/>
      <c r="C282" s="456"/>
      <c r="D282" s="92">
        <v>2018</v>
      </c>
      <c r="E282" s="92"/>
      <c r="F282" s="92"/>
      <c r="G282" s="92"/>
      <c r="H282" s="92">
        <v>0</v>
      </c>
      <c r="I282" s="387"/>
      <c r="J282" s="390"/>
    </row>
    <row r="283" spans="2:10" s="132" customFormat="1" ht="15.75" customHeight="1" x14ac:dyDescent="0.25">
      <c r="B283" s="457"/>
      <c r="C283" s="456"/>
      <c r="D283" s="92">
        <v>2019</v>
      </c>
      <c r="E283" s="92"/>
      <c r="F283" s="92"/>
      <c r="G283" s="92"/>
      <c r="H283" s="92">
        <v>0</v>
      </c>
      <c r="I283" s="388"/>
      <c r="J283" s="391"/>
    </row>
    <row r="284" spans="2:10" s="132" customFormat="1" ht="15.75" customHeight="1" x14ac:dyDescent="0.25">
      <c r="B284" s="457" t="s">
        <v>568</v>
      </c>
      <c r="C284" s="456" t="s">
        <v>569</v>
      </c>
      <c r="D284" s="92">
        <v>2017</v>
      </c>
      <c r="E284" s="92"/>
      <c r="F284" s="92" t="s">
        <v>17</v>
      </c>
      <c r="G284" s="92"/>
      <c r="H284" s="92">
        <v>1</v>
      </c>
      <c r="I284" s="386" t="s">
        <v>991</v>
      </c>
      <c r="J284" s="389" t="s">
        <v>990</v>
      </c>
    </row>
    <row r="285" spans="2:10" s="132" customFormat="1" ht="15.75" customHeight="1" x14ac:dyDescent="0.25">
      <c r="B285" s="457"/>
      <c r="C285" s="456"/>
      <c r="D285" s="92">
        <v>2018</v>
      </c>
      <c r="E285" s="92"/>
      <c r="F285" s="92" t="s">
        <v>17</v>
      </c>
      <c r="G285" s="92"/>
      <c r="H285" s="92">
        <v>1</v>
      </c>
      <c r="I285" s="387"/>
      <c r="J285" s="390"/>
    </row>
    <row r="286" spans="2:10" s="132" customFormat="1" ht="15.75" customHeight="1" x14ac:dyDescent="0.25">
      <c r="B286" s="457"/>
      <c r="C286" s="456"/>
      <c r="D286" s="92">
        <v>2019</v>
      </c>
      <c r="E286" s="92"/>
      <c r="F286" s="92" t="s">
        <v>17</v>
      </c>
      <c r="G286" s="92"/>
      <c r="H286" s="92">
        <v>1</v>
      </c>
      <c r="I286" s="388"/>
      <c r="J286" s="391"/>
    </row>
    <row r="287" spans="2:10" s="132" customFormat="1" ht="15.75" customHeight="1" x14ac:dyDescent="0.25">
      <c r="B287" s="457" t="s">
        <v>574</v>
      </c>
      <c r="C287" s="456" t="s">
        <v>575</v>
      </c>
      <c r="D287" s="92">
        <v>2017</v>
      </c>
      <c r="E287" s="92"/>
      <c r="F287" s="92"/>
      <c r="G287" s="92" t="s">
        <v>17</v>
      </c>
      <c r="H287" s="92">
        <v>1</v>
      </c>
      <c r="I287" s="389" t="s">
        <v>993</v>
      </c>
      <c r="J287" s="389" t="s">
        <v>992</v>
      </c>
    </row>
    <row r="288" spans="2:10" s="132" customFormat="1" ht="15.75" customHeight="1" x14ac:dyDescent="0.25">
      <c r="B288" s="457"/>
      <c r="C288" s="456"/>
      <c r="D288" s="92">
        <v>2018</v>
      </c>
      <c r="E288" s="92"/>
      <c r="F288" s="92"/>
      <c r="G288" s="92" t="s">
        <v>17</v>
      </c>
      <c r="H288" s="92">
        <v>1</v>
      </c>
      <c r="I288" s="390"/>
      <c r="J288" s="390"/>
    </row>
    <row r="289" spans="2:10" s="132" customFormat="1" ht="15.75" customHeight="1" x14ac:dyDescent="0.25">
      <c r="B289" s="457"/>
      <c r="C289" s="456"/>
      <c r="D289" s="92">
        <v>2019</v>
      </c>
      <c r="E289" s="92"/>
      <c r="F289" s="92"/>
      <c r="G289" s="92" t="s">
        <v>17</v>
      </c>
      <c r="H289" s="92">
        <v>1</v>
      </c>
      <c r="I289" s="391"/>
      <c r="J289" s="391"/>
    </row>
    <row r="290" spans="2:10" s="132" customFormat="1" ht="15.75" customHeight="1" x14ac:dyDescent="0.25">
      <c r="B290" s="456" t="s">
        <v>578</v>
      </c>
      <c r="C290" s="456" t="s">
        <v>579</v>
      </c>
      <c r="D290" s="92">
        <v>2017</v>
      </c>
      <c r="E290" s="92"/>
      <c r="F290" s="92"/>
      <c r="G290" s="92"/>
      <c r="H290" s="92">
        <v>0</v>
      </c>
      <c r="I290" s="386" t="s">
        <v>26</v>
      </c>
      <c r="J290" s="389" t="s">
        <v>26</v>
      </c>
    </row>
    <row r="291" spans="2:10" s="132" customFormat="1" ht="15.75" customHeight="1" x14ac:dyDescent="0.25">
      <c r="B291" s="456"/>
      <c r="C291" s="456"/>
      <c r="D291" s="92">
        <v>2018</v>
      </c>
      <c r="E291" s="92"/>
      <c r="F291" s="92"/>
      <c r="G291" s="92"/>
      <c r="H291" s="92">
        <v>0</v>
      </c>
      <c r="I291" s="387"/>
      <c r="J291" s="390"/>
    </row>
    <row r="292" spans="2:10" s="132" customFormat="1" ht="15.75" customHeight="1" x14ac:dyDescent="0.25">
      <c r="B292" s="456"/>
      <c r="C292" s="456"/>
      <c r="D292" s="92">
        <v>2019</v>
      </c>
      <c r="E292" s="92"/>
      <c r="F292" s="92"/>
      <c r="G292" s="92"/>
      <c r="H292" s="92">
        <v>0</v>
      </c>
      <c r="I292" s="388"/>
      <c r="J292" s="391"/>
    </row>
    <row r="293" spans="2:10" s="132" customFormat="1" ht="15.75" customHeight="1" x14ac:dyDescent="0.25">
      <c r="B293" s="457" t="s">
        <v>584</v>
      </c>
      <c r="C293" s="456" t="s">
        <v>585</v>
      </c>
      <c r="D293" s="92">
        <v>2017</v>
      </c>
      <c r="E293" s="92"/>
      <c r="F293" s="92"/>
      <c r="G293" s="92"/>
      <c r="H293" s="92">
        <v>0</v>
      </c>
      <c r="I293" s="386" t="s">
        <v>26</v>
      </c>
      <c r="J293" s="389" t="s">
        <v>26</v>
      </c>
    </row>
    <row r="294" spans="2:10" s="132" customFormat="1" ht="15.75" customHeight="1" x14ac:dyDescent="0.25">
      <c r="B294" s="457"/>
      <c r="C294" s="456"/>
      <c r="D294" s="92">
        <v>2018</v>
      </c>
      <c r="E294" s="92"/>
      <c r="F294" s="92"/>
      <c r="G294" s="92"/>
      <c r="H294" s="92">
        <v>0</v>
      </c>
      <c r="I294" s="387"/>
      <c r="J294" s="390"/>
    </row>
    <row r="295" spans="2:10" s="132" customFormat="1" ht="15.75" customHeight="1" x14ac:dyDescent="0.25">
      <c r="B295" s="457"/>
      <c r="C295" s="456"/>
      <c r="D295" s="92">
        <v>2019</v>
      </c>
      <c r="E295" s="92"/>
      <c r="F295" s="92"/>
      <c r="G295" s="92"/>
      <c r="H295" s="92">
        <v>0</v>
      </c>
      <c r="I295" s="388"/>
      <c r="J295" s="391"/>
    </row>
    <row r="296" spans="2:10" s="132" customFormat="1" ht="15.75" customHeight="1" x14ac:dyDescent="0.25">
      <c r="B296" s="457" t="s">
        <v>588</v>
      </c>
      <c r="C296" s="456" t="s">
        <v>589</v>
      </c>
      <c r="D296" s="92">
        <v>2017</v>
      </c>
      <c r="E296" s="92"/>
      <c r="F296" s="92"/>
      <c r="G296" s="92"/>
      <c r="H296" s="92">
        <v>0</v>
      </c>
      <c r="I296" s="386" t="s">
        <v>26</v>
      </c>
      <c r="J296" s="389" t="s">
        <v>26</v>
      </c>
    </row>
    <row r="297" spans="2:10" s="132" customFormat="1" ht="15.75" customHeight="1" x14ac:dyDescent="0.25">
      <c r="B297" s="457"/>
      <c r="C297" s="456"/>
      <c r="D297" s="92">
        <v>2018</v>
      </c>
      <c r="E297" s="92"/>
      <c r="F297" s="92"/>
      <c r="G297" s="92"/>
      <c r="H297" s="92">
        <v>0</v>
      </c>
      <c r="I297" s="387"/>
      <c r="J297" s="390"/>
    </row>
    <row r="298" spans="2:10" s="132" customFormat="1" ht="15.75" customHeight="1" x14ac:dyDescent="0.25">
      <c r="B298" s="457"/>
      <c r="C298" s="456"/>
      <c r="D298" s="92">
        <v>2019</v>
      </c>
      <c r="E298" s="92"/>
      <c r="F298" s="92"/>
      <c r="G298" s="92"/>
      <c r="H298" s="92">
        <v>0</v>
      </c>
      <c r="I298" s="388"/>
      <c r="J298" s="391"/>
    </row>
    <row r="299" spans="2:10" s="132" customFormat="1" ht="15.75" customHeight="1" x14ac:dyDescent="0.25">
      <c r="B299" s="457" t="s">
        <v>595</v>
      </c>
      <c r="C299" s="456" t="s">
        <v>596</v>
      </c>
      <c r="D299" s="92">
        <v>2017</v>
      </c>
      <c r="E299" s="92"/>
      <c r="F299" s="92" t="s">
        <v>17</v>
      </c>
      <c r="G299" s="92"/>
      <c r="H299" s="92">
        <v>1</v>
      </c>
      <c r="I299" s="386" t="s">
        <v>995</v>
      </c>
      <c r="J299" s="389" t="s">
        <v>994</v>
      </c>
    </row>
    <row r="300" spans="2:10" s="132" customFormat="1" ht="15.75" customHeight="1" x14ac:dyDescent="0.25">
      <c r="B300" s="457"/>
      <c r="C300" s="456"/>
      <c r="D300" s="92">
        <v>2018</v>
      </c>
      <c r="E300" s="92"/>
      <c r="F300" s="92" t="s">
        <v>17</v>
      </c>
      <c r="G300" s="92"/>
      <c r="H300" s="92">
        <v>1</v>
      </c>
      <c r="I300" s="387"/>
      <c r="J300" s="390"/>
    </row>
    <row r="301" spans="2:10" s="132" customFormat="1" ht="15.75" customHeight="1" x14ac:dyDescent="0.25">
      <c r="B301" s="457"/>
      <c r="C301" s="456"/>
      <c r="D301" s="92">
        <v>2019</v>
      </c>
      <c r="E301" s="92"/>
      <c r="F301" s="92" t="s">
        <v>17</v>
      </c>
      <c r="G301" s="92"/>
      <c r="H301" s="92">
        <v>1</v>
      </c>
      <c r="I301" s="388"/>
      <c r="J301" s="391"/>
    </row>
    <row r="302" spans="2:10" s="207" customFormat="1" ht="15.75" customHeight="1" x14ac:dyDescent="0.25">
      <c r="B302" s="384" t="s">
        <v>598</v>
      </c>
      <c r="C302" s="385" t="s">
        <v>599</v>
      </c>
      <c r="D302" s="252">
        <v>2017</v>
      </c>
      <c r="E302" s="252"/>
      <c r="F302" s="252"/>
      <c r="G302" s="252"/>
      <c r="H302" s="252">
        <v>0</v>
      </c>
      <c r="I302" s="372" t="s">
        <v>26</v>
      </c>
      <c r="J302" s="374" t="s">
        <v>26</v>
      </c>
    </row>
    <row r="303" spans="2:10" s="207" customFormat="1" ht="15.75" customHeight="1" x14ac:dyDescent="0.25">
      <c r="B303" s="384"/>
      <c r="C303" s="385"/>
      <c r="D303" s="252">
        <v>2018</v>
      </c>
      <c r="E303" s="252"/>
      <c r="F303" s="252"/>
      <c r="G303" s="252"/>
      <c r="H303" s="252">
        <v>0</v>
      </c>
      <c r="I303" s="376"/>
      <c r="J303" s="377"/>
    </row>
    <row r="304" spans="2:10" s="207" customFormat="1" ht="15.75" customHeight="1" x14ac:dyDescent="0.25">
      <c r="B304" s="384"/>
      <c r="C304" s="385"/>
      <c r="D304" s="252">
        <v>2019</v>
      </c>
      <c r="E304" s="252"/>
      <c r="F304" s="252"/>
      <c r="G304" s="252"/>
      <c r="H304" s="252">
        <v>0</v>
      </c>
      <c r="I304" s="373"/>
      <c r="J304" s="375"/>
    </row>
    <row r="305" spans="2:10" s="207" customFormat="1" ht="15.75" customHeight="1" x14ac:dyDescent="0.25">
      <c r="B305" s="384" t="s">
        <v>605</v>
      </c>
      <c r="C305" s="385" t="s">
        <v>606</v>
      </c>
      <c r="D305" s="252">
        <v>2017</v>
      </c>
      <c r="E305" s="252"/>
      <c r="F305" s="252" t="s">
        <v>17</v>
      </c>
      <c r="G305" s="252"/>
      <c r="H305" s="256">
        <v>1</v>
      </c>
      <c r="I305" s="372" t="s">
        <v>968</v>
      </c>
      <c r="J305" s="374" t="s">
        <v>998</v>
      </c>
    </row>
    <row r="306" spans="2:10" s="207" customFormat="1" ht="15.75" customHeight="1" x14ac:dyDescent="0.25">
      <c r="B306" s="384"/>
      <c r="C306" s="385"/>
      <c r="D306" s="252">
        <v>2018</v>
      </c>
      <c r="E306" s="252"/>
      <c r="F306" s="252" t="s">
        <v>17</v>
      </c>
      <c r="G306" s="252"/>
      <c r="H306" s="257">
        <v>1</v>
      </c>
      <c r="I306" s="373"/>
      <c r="J306" s="375"/>
    </row>
    <row r="307" spans="2:10" s="207" customFormat="1" ht="27.75" customHeight="1" x14ac:dyDescent="0.25">
      <c r="B307" s="384"/>
      <c r="C307" s="385"/>
      <c r="D307" s="252">
        <v>2019</v>
      </c>
      <c r="E307" s="252"/>
      <c r="F307" s="252" t="s">
        <v>17</v>
      </c>
      <c r="G307" s="252"/>
      <c r="H307" s="252">
        <v>1</v>
      </c>
      <c r="I307" s="252" t="s">
        <v>997</v>
      </c>
      <c r="J307" s="253" t="s">
        <v>996</v>
      </c>
    </row>
    <row r="308" spans="2:10" s="207" customFormat="1" ht="15.75" customHeight="1" x14ac:dyDescent="0.25">
      <c r="B308" s="384" t="s">
        <v>608</v>
      </c>
      <c r="C308" s="385" t="s">
        <v>609</v>
      </c>
      <c r="D308" s="252">
        <v>2017</v>
      </c>
      <c r="E308" s="252"/>
      <c r="F308" s="252"/>
      <c r="G308" s="252"/>
      <c r="H308" s="252">
        <v>0</v>
      </c>
      <c r="I308" s="372" t="s">
        <v>26</v>
      </c>
      <c r="J308" s="374" t="s">
        <v>26</v>
      </c>
    </row>
    <row r="309" spans="2:10" s="207" customFormat="1" ht="15.75" customHeight="1" x14ac:dyDescent="0.25">
      <c r="B309" s="384"/>
      <c r="C309" s="385"/>
      <c r="D309" s="252">
        <v>2018</v>
      </c>
      <c r="E309" s="252"/>
      <c r="F309" s="252"/>
      <c r="G309" s="252"/>
      <c r="H309" s="252">
        <v>0</v>
      </c>
      <c r="I309" s="376"/>
      <c r="J309" s="377"/>
    </row>
    <row r="310" spans="2:10" s="207" customFormat="1" ht="15.75" customHeight="1" x14ac:dyDescent="0.25">
      <c r="B310" s="384"/>
      <c r="C310" s="385"/>
      <c r="D310" s="252">
        <v>2019</v>
      </c>
      <c r="E310" s="252"/>
      <c r="F310" s="252"/>
      <c r="G310" s="252"/>
      <c r="H310" s="252">
        <v>0</v>
      </c>
      <c r="I310" s="373"/>
      <c r="J310" s="375"/>
    </row>
    <row r="311" spans="2:10" s="207" customFormat="1" ht="15.75" customHeight="1" x14ac:dyDescent="0.25">
      <c r="B311" s="384" t="s">
        <v>615</v>
      </c>
      <c r="C311" s="385" t="s">
        <v>616</v>
      </c>
      <c r="D311" s="252">
        <v>2017</v>
      </c>
      <c r="E311" s="252"/>
      <c r="F311" s="252" t="s">
        <v>17</v>
      </c>
      <c r="G311" s="252"/>
      <c r="H311" s="252">
        <v>1</v>
      </c>
      <c r="I311" s="374" t="s">
        <v>999</v>
      </c>
      <c r="J311" s="374" t="s">
        <v>1000</v>
      </c>
    </row>
    <row r="312" spans="2:10" s="207" customFormat="1" ht="15.75" customHeight="1" x14ac:dyDescent="0.25">
      <c r="B312" s="384"/>
      <c r="C312" s="385"/>
      <c r="D312" s="252">
        <v>2018</v>
      </c>
      <c r="E312" s="252"/>
      <c r="F312" s="252" t="s">
        <v>17</v>
      </c>
      <c r="G312" s="252"/>
      <c r="H312" s="252">
        <v>1</v>
      </c>
      <c r="I312" s="377"/>
      <c r="J312" s="377"/>
    </row>
    <row r="313" spans="2:10" s="207" customFormat="1" ht="15.75" customHeight="1" x14ac:dyDescent="0.25">
      <c r="B313" s="384"/>
      <c r="C313" s="385"/>
      <c r="D313" s="252">
        <v>2019</v>
      </c>
      <c r="E313" s="252"/>
      <c r="F313" s="252" t="s">
        <v>17</v>
      </c>
      <c r="G313" s="252"/>
      <c r="H313" s="252">
        <v>1</v>
      </c>
      <c r="I313" s="375"/>
      <c r="J313" s="375"/>
    </row>
    <row r="314" spans="2:10" s="207" customFormat="1" ht="15.75" customHeight="1" x14ac:dyDescent="0.25">
      <c r="B314" s="384" t="s">
        <v>622</v>
      </c>
      <c r="C314" s="385" t="s">
        <v>623</v>
      </c>
      <c r="D314" s="252">
        <v>2017</v>
      </c>
      <c r="E314" s="252"/>
      <c r="F314" s="252"/>
      <c r="G314" s="252"/>
      <c r="H314" s="252">
        <v>0</v>
      </c>
      <c r="I314" s="372" t="s">
        <v>26</v>
      </c>
      <c r="J314" s="374" t="s">
        <v>26</v>
      </c>
    </row>
    <row r="315" spans="2:10" s="207" customFormat="1" ht="15.75" customHeight="1" x14ac:dyDescent="0.25">
      <c r="B315" s="384"/>
      <c r="C315" s="385"/>
      <c r="D315" s="252">
        <v>2018</v>
      </c>
      <c r="E315" s="252"/>
      <c r="F315" s="252"/>
      <c r="G315" s="252"/>
      <c r="H315" s="252">
        <v>0</v>
      </c>
      <c r="I315" s="376"/>
      <c r="J315" s="377"/>
    </row>
    <row r="316" spans="2:10" s="207" customFormat="1" ht="15.75" customHeight="1" x14ac:dyDescent="0.25">
      <c r="B316" s="384"/>
      <c r="C316" s="385"/>
      <c r="D316" s="252">
        <v>2019</v>
      </c>
      <c r="E316" s="252"/>
      <c r="F316" s="252"/>
      <c r="G316" s="252"/>
      <c r="H316" s="252">
        <v>0</v>
      </c>
      <c r="I316" s="373"/>
      <c r="J316" s="375"/>
    </row>
    <row r="317" spans="2:10" s="207" customFormat="1" ht="15.75" customHeight="1" x14ac:dyDescent="0.25">
      <c r="B317" s="384" t="s">
        <v>630</v>
      </c>
      <c r="C317" s="385" t="s">
        <v>631</v>
      </c>
      <c r="D317" s="252">
        <v>2017</v>
      </c>
      <c r="E317" s="252"/>
      <c r="F317" s="252" t="s">
        <v>17</v>
      </c>
      <c r="G317" s="252"/>
      <c r="H317" s="252">
        <v>1</v>
      </c>
      <c r="I317" s="372" t="s">
        <v>1002</v>
      </c>
      <c r="J317" s="374" t="s">
        <v>1001</v>
      </c>
    </row>
    <row r="318" spans="2:10" s="207" customFormat="1" ht="15.75" customHeight="1" x14ac:dyDescent="0.25">
      <c r="B318" s="384"/>
      <c r="C318" s="385"/>
      <c r="D318" s="252">
        <v>2018</v>
      </c>
      <c r="E318" s="252"/>
      <c r="F318" s="252" t="s">
        <v>17</v>
      </c>
      <c r="G318" s="252"/>
      <c r="H318" s="252">
        <v>1</v>
      </c>
      <c r="I318" s="376"/>
      <c r="J318" s="377"/>
    </row>
    <row r="319" spans="2:10" s="207" customFormat="1" ht="15.75" customHeight="1" x14ac:dyDescent="0.25">
      <c r="B319" s="384"/>
      <c r="C319" s="385"/>
      <c r="D319" s="252">
        <v>2019</v>
      </c>
      <c r="E319" s="252"/>
      <c r="F319" s="252" t="s">
        <v>17</v>
      </c>
      <c r="G319" s="252"/>
      <c r="H319" s="252">
        <v>1</v>
      </c>
      <c r="I319" s="373"/>
      <c r="J319" s="375"/>
    </row>
    <row r="320" spans="2:10" s="207" customFormat="1" ht="15.75" customHeight="1" x14ac:dyDescent="0.25">
      <c r="B320" s="384" t="s">
        <v>633</v>
      </c>
      <c r="C320" s="385" t="s">
        <v>634</v>
      </c>
      <c r="D320" s="252">
        <v>2017</v>
      </c>
      <c r="E320" s="252"/>
      <c r="F320" s="252" t="s">
        <v>17</v>
      </c>
      <c r="G320" s="252"/>
      <c r="H320" s="252">
        <v>1</v>
      </c>
      <c r="I320" s="374" t="s">
        <v>999</v>
      </c>
      <c r="J320" s="374" t="s">
        <v>1000</v>
      </c>
    </row>
    <row r="321" spans="2:10" s="207" customFormat="1" ht="15.75" customHeight="1" x14ac:dyDescent="0.25">
      <c r="B321" s="384"/>
      <c r="C321" s="385"/>
      <c r="D321" s="252">
        <v>2018</v>
      </c>
      <c r="E321" s="252"/>
      <c r="F321" s="252" t="s">
        <v>17</v>
      </c>
      <c r="G321" s="252"/>
      <c r="H321" s="252">
        <v>1</v>
      </c>
      <c r="I321" s="377"/>
      <c r="J321" s="377"/>
    </row>
    <row r="322" spans="2:10" s="207" customFormat="1" ht="15.75" customHeight="1" x14ac:dyDescent="0.25">
      <c r="B322" s="384"/>
      <c r="C322" s="385"/>
      <c r="D322" s="252">
        <v>2019</v>
      </c>
      <c r="E322" s="252"/>
      <c r="F322" s="252" t="s">
        <v>17</v>
      </c>
      <c r="G322" s="252"/>
      <c r="H322" s="252">
        <v>1</v>
      </c>
      <c r="I322" s="375"/>
      <c r="J322" s="375"/>
    </row>
    <row r="323" spans="2:10" s="207" customFormat="1" ht="15.75" customHeight="1" x14ac:dyDescent="0.25">
      <c r="B323" s="384" t="s">
        <v>635</v>
      </c>
      <c r="C323" s="385" t="s">
        <v>636</v>
      </c>
      <c r="D323" s="252">
        <v>2017</v>
      </c>
      <c r="E323" s="252"/>
      <c r="F323" s="252"/>
      <c r="G323" s="252"/>
      <c r="H323" s="252">
        <v>0</v>
      </c>
      <c r="I323" s="372" t="s">
        <v>26</v>
      </c>
      <c r="J323" s="374" t="s">
        <v>26</v>
      </c>
    </row>
    <row r="324" spans="2:10" s="207" customFormat="1" ht="15.75" customHeight="1" x14ac:dyDescent="0.25">
      <c r="B324" s="384"/>
      <c r="C324" s="385"/>
      <c r="D324" s="252">
        <v>2018</v>
      </c>
      <c r="E324" s="252"/>
      <c r="F324" s="252"/>
      <c r="G324" s="252"/>
      <c r="H324" s="252">
        <v>0</v>
      </c>
      <c r="I324" s="376"/>
      <c r="J324" s="377"/>
    </row>
    <row r="325" spans="2:10" s="207" customFormat="1" ht="15.75" customHeight="1" x14ac:dyDescent="0.25">
      <c r="B325" s="384"/>
      <c r="C325" s="385"/>
      <c r="D325" s="252">
        <v>2019</v>
      </c>
      <c r="E325" s="252"/>
      <c r="F325" s="252"/>
      <c r="G325" s="252"/>
      <c r="H325" s="252">
        <v>0</v>
      </c>
      <c r="I325" s="373"/>
      <c r="J325" s="375"/>
    </row>
    <row r="326" spans="2:10" s="207" customFormat="1" ht="15.75" customHeight="1" x14ac:dyDescent="0.25">
      <c r="B326" s="384" t="s">
        <v>649</v>
      </c>
      <c r="C326" s="385" t="s">
        <v>650</v>
      </c>
      <c r="D326" s="252">
        <v>2017</v>
      </c>
      <c r="E326" s="252"/>
      <c r="F326" s="252"/>
      <c r="G326" s="252"/>
      <c r="H326" s="252">
        <v>0</v>
      </c>
      <c r="I326" s="372" t="s">
        <v>26</v>
      </c>
      <c r="J326" s="374" t="s">
        <v>26</v>
      </c>
    </row>
    <row r="327" spans="2:10" s="207" customFormat="1" ht="15.75" customHeight="1" x14ac:dyDescent="0.25">
      <c r="B327" s="384"/>
      <c r="C327" s="385"/>
      <c r="D327" s="252">
        <v>2018</v>
      </c>
      <c r="E327" s="252"/>
      <c r="F327" s="252"/>
      <c r="G327" s="252"/>
      <c r="H327" s="252">
        <v>0</v>
      </c>
      <c r="I327" s="376"/>
      <c r="J327" s="377"/>
    </row>
    <row r="328" spans="2:10" s="207" customFormat="1" ht="15.75" customHeight="1" x14ac:dyDescent="0.25">
      <c r="B328" s="384"/>
      <c r="C328" s="385"/>
      <c r="D328" s="252">
        <v>2019</v>
      </c>
      <c r="E328" s="252"/>
      <c r="F328" s="252"/>
      <c r="G328" s="252"/>
      <c r="H328" s="252">
        <v>0</v>
      </c>
      <c r="I328" s="373"/>
      <c r="J328" s="375"/>
    </row>
    <row r="329" spans="2:10" s="207" customFormat="1" ht="15.75" customHeight="1" x14ac:dyDescent="0.25">
      <c r="B329" s="384" t="s">
        <v>657</v>
      </c>
      <c r="C329" s="385" t="s">
        <v>658</v>
      </c>
      <c r="D329" s="252">
        <v>2017</v>
      </c>
      <c r="E329" s="252"/>
      <c r="F329" s="252" t="s">
        <v>17</v>
      </c>
      <c r="G329" s="252"/>
      <c r="H329" s="252">
        <v>1</v>
      </c>
      <c r="I329" s="372" t="s">
        <v>968</v>
      </c>
      <c r="J329" s="374" t="s">
        <v>998</v>
      </c>
    </row>
    <row r="330" spans="2:10" s="207" customFormat="1" ht="15.75" customHeight="1" x14ac:dyDescent="0.25">
      <c r="B330" s="384"/>
      <c r="C330" s="385"/>
      <c r="D330" s="252">
        <v>2018</v>
      </c>
      <c r="E330" s="252"/>
      <c r="F330" s="252" t="s">
        <v>17</v>
      </c>
      <c r="G330" s="252"/>
      <c r="H330" s="252">
        <v>1</v>
      </c>
      <c r="I330" s="376"/>
      <c r="J330" s="377"/>
    </row>
    <row r="331" spans="2:10" s="207" customFormat="1" ht="15.75" customHeight="1" x14ac:dyDescent="0.25">
      <c r="B331" s="384"/>
      <c r="C331" s="385"/>
      <c r="D331" s="252">
        <v>2019</v>
      </c>
      <c r="E331" s="252"/>
      <c r="F331" s="252" t="s">
        <v>17</v>
      </c>
      <c r="G331" s="252"/>
      <c r="H331" s="252">
        <v>1</v>
      </c>
      <c r="I331" s="373"/>
      <c r="J331" s="375"/>
    </row>
    <row r="332" spans="2:10" s="207" customFormat="1" ht="24.75" customHeight="1" x14ac:dyDescent="0.25">
      <c r="B332" s="384" t="s">
        <v>662</v>
      </c>
      <c r="C332" s="385" t="s">
        <v>663</v>
      </c>
      <c r="D332" s="252">
        <v>2017</v>
      </c>
      <c r="E332" s="252"/>
      <c r="F332" s="252" t="s">
        <v>17</v>
      </c>
      <c r="G332" s="252"/>
      <c r="H332" s="252">
        <v>1</v>
      </c>
      <c r="I332" s="372" t="s">
        <v>1004</v>
      </c>
      <c r="J332" s="374" t="s">
        <v>1003</v>
      </c>
    </row>
    <row r="333" spans="2:10" s="207" customFormat="1" ht="15.75" customHeight="1" x14ac:dyDescent="0.25">
      <c r="B333" s="384"/>
      <c r="C333" s="385"/>
      <c r="D333" s="252">
        <v>2018</v>
      </c>
      <c r="E333" s="252"/>
      <c r="F333" s="252" t="s">
        <v>17</v>
      </c>
      <c r="G333" s="252"/>
      <c r="H333" s="252">
        <v>1</v>
      </c>
      <c r="I333" s="376"/>
      <c r="J333" s="377"/>
    </row>
    <row r="334" spans="2:10" s="207" customFormat="1" ht="15.75" customHeight="1" x14ac:dyDescent="0.25">
      <c r="B334" s="384"/>
      <c r="C334" s="385"/>
      <c r="D334" s="252">
        <v>2019</v>
      </c>
      <c r="E334" s="252"/>
      <c r="F334" s="252" t="s">
        <v>17</v>
      </c>
      <c r="G334" s="252"/>
      <c r="H334" s="252">
        <v>1</v>
      </c>
      <c r="I334" s="373"/>
      <c r="J334" s="375"/>
    </row>
    <row r="335" spans="2:10" s="207" customFormat="1" ht="15.75" customHeight="1" x14ac:dyDescent="0.25">
      <c r="B335" s="384" t="s">
        <v>665</v>
      </c>
      <c r="C335" s="385" t="s">
        <v>666</v>
      </c>
      <c r="D335" s="252">
        <v>2017</v>
      </c>
      <c r="E335" s="252"/>
      <c r="F335" s="252" t="s">
        <v>17</v>
      </c>
      <c r="G335" s="252"/>
      <c r="H335" s="252">
        <v>1</v>
      </c>
      <c r="I335" s="384" t="s">
        <v>979</v>
      </c>
      <c r="J335" s="385" t="s">
        <v>980</v>
      </c>
    </row>
    <row r="336" spans="2:10" s="207" customFormat="1" ht="15.75" customHeight="1" x14ac:dyDescent="0.25">
      <c r="B336" s="384"/>
      <c r="C336" s="385"/>
      <c r="D336" s="252">
        <v>2018</v>
      </c>
      <c r="E336" s="252"/>
      <c r="F336" s="252" t="s">
        <v>17</v>
      </c>
      <c r="G336" s="252"/>
      <c r="H336" s="252">
        <v>1</v>
      </c>
      <c r="I336" s="384"/>
      <c r="J336" s="385"/>
    </row>
    <row r="337" spans="2:10" s="207" customFormat="1" ht="29.25" customHeight="1" x14ac:dyDescent="0.25">
      <c r="B337" s="384"/>
      <c r="C337" s="385"/>
      <c r="D337" s="252">
        <v>2019</v>
      </c>
      <c r="E337" s="252"/>
      <c r="F337" s="252" t="s">
        <v>17</v>
      </c>
      <c r="G337" s="252"/>
      <c r="H337" s="252">
        <v>1</v>
      </c>
      <c r="I337" s="252" t="s">
        <v>1006</v>
      </c>
      <c r="J337" s="253" t="s">
        <v>1005</v>
      </c>
    </row>
    <row r="338" spans="2:10" s="207" customFormat="1" ht="15.75" customHeight="1" x14ac:dyDescent="0.25">
      <c r="B338" s="384" t="s">
        <v>654</v>
      </c>
      <c r="C338" s="385" t="s">
        <v>655</v>
      </c>
      <c r="D338" s="252">
        <v>2017</v>
      </c>
      <c r="E338" s="252"/>
      <c r="F338" s="252"/>
      <c r="G338" s="252"/>
      <c r="H338" s="252">
        <v>0</v>
      </c>
      <c r="I338" s="252" t="s">
        <v>26</v>
      </c>
      <c r="J338" s="253" t="s">
        <v>26</v>
      </c>
    </row>
    <row r="339" spans="2:10" s="207" customFormat="1" ht="15.75" customHeight="1" x14ac:dyDescent="0.25">
      <c r="B339" s="384"/>
      <c r="C339" s="385"/>
      <c r="D339" s="252">
        <v>2018</v>
      </c>
      <c r="E339" s="252"/>
      <c r="F339" s="252" t="s">
        <v>17</v>
      </c>
      <c r="G339" s="252"/>
      <c r="H339" s="252">
        <v>1</v>
      </c>
      <c r="I339" s="372" t="s">
        <v>1008</v>
      </c>
      <c r="J339" s="374" t="s">
        <v>1007</v>
      </c>
    </row>
    <row r="340" spans="2:10" s="207" customFormat="1" ht="15.75" customHeight="1" x14ac:dyDescent="0.25">
      <c r="B340" s="384"/>
      <c r="C340" s="385"/>
      <c r="D340" s="252">
        <v>2019</v>
      </c>
      <c r="E340" s="252"/>
      <c r="F340" s="252" t="s">
        <v>17</v>
      </c>
      <c r="G340" s="252"/>
      <c r="H340" s="252">
        <v>1</v>
      </c>
      <c r="I340" s="373"/>
      <c r="J340" s="375"/>
    </row>
    <row r="341" spans="2:10" s="207" customFormat="1" ht="15.75" customHeight="1" x14ac:dyDescent="0.25">
      <c r="B341" s="384" t="s">
        <v>675</v>
      </c>
      <c r="C341" s="385" t="s">
        <v>676</v>
      </c>
      <c r="D341" s="252">
        <v>2017</v>
      </c>
      <c r="E341" s="252"/>
      <c r="F341" s="252"/>
      <c r="G341" s="252"/>
      <c r="H341" s="252">
        <v>0</v>
      </c>
      <c r="I341" s="372" t="s">
        <v>26</v>
      </c>
      <c r="J341" s="374" t="s">
        <v>26</v>
      </c>
    </row>
    <row r="342" spans="2:10" s="207" customFormat="1" ht="15.75" customHeight="1" x14ac:dyDescent="0.25">
      <c r="B342" s="384"/>
      <c r="C342" s="385"/>
      <c r="D342" s="252">
        <v>2018</v>
      </c>
      <c r="E342" s="252"/>
      <c r="F342" s="252"/>
      <c r="G342" s="252"/>
      <c r="H342" s="252">
        <v>0</v>
      </c>
      <c r="I342" s="376"/>
      <c r="J342" s="377"/>
    </row>
    <row r="343" spans="2:10" s="207" customFormat="1" ht="15.75" customHeight="1" x14ac:dyDescent="0.25">
      <c r="B343" s="384"/>
      <c r="C343" s="385"/>
      <c r="D343" s="252">
        <v>2019</v>
      </c>
      <c r="E343" s="252"/>
      <c r="F343" s="252"/>
      <c r="G343" s="252"/>
      <c r="H343" s="252">
        <v>0</v>
      </c>
      <c r="I343" s="373"/>
      <c r="J343" s="375"/>
    </row>
    <row r="344" spans="2:10" s="207" customFormat="1" ht="15.75" customHeight="1" x14ac:dyDescent="0.25">
      <c r="B344" s="384" t="s">
        <v>691</v>
      </c>
      <c r="C344" s="385" t="s">
        <v>692</v>
      </c>
      <c r="D344" s="252">
        <v>2017</v>
      </c>
      <c r="E344" s="252"/>
      <c r="F344" s="252"/>
      <c r="G344" s="252"/>
      <c r="H344" s="252">
        <v>0</v>
      </c>
      <c r="I344" s="372" t="s">
        <v>26</v>
      </c>
      <c r="J344" s="374" t="s">
        <v>26</v>
      </c>
    </row>
    <row r="345" spans="2:10" s="207" customFormat="1" ht="15.75" customHeight="1" x14ac:dyDescent="0.25">
      <c r="B345" s="384"/>
      <c r="C345" s="385"/>
      <c r="D345" s="252">
        <v>2018</v>
      </c>
      <c r="E345" s="252"/>
      <c r="F345" s="252"/>
      <c r="G345" s="252"/>
      <c r="H345" s="252">
        <v>0</v>
      </c>
      <c r="I345" s="376"/>
      <c r="J345" s="377"/>
    </row>
    <row r="346" spans="2:10" s="207" customFormat="1" ht="15.75" customHeight="1" x14ac:dyDescent="0.25">
      <c r="B346" s="384"/>
      <c r="C346" s="385"/>
      <c r="D346" s="252">
        <v>2019</v>
      </c>
      <c r="E346" s="252"/>
      <c r="F346" s="252"/>
      <c r="G346" s="252"/>
      <c r="H346" s="252">
        <v>0</v>
      </c>
      <c r="I346" s="373"/>
      <c r="J346" s="375"/>
    </row>
    <row r="347" spans="2:10" ht="15.75" customHeight="1" x14ac:dyDescent="0.25">
      <c r="B347" s="440" t="s">
        <v>718</v>
      </c>
      <c r="C347" s="439" t="s">
        <v>719</v>
      </c>
      <c r="D347" s="217">
        <v>2017</v>
      </c>
      <c r="E347" s="217"/>
      <c r="F347" s="217"/>
      <c r="G347" s="217"/>
      <c r="H347" s="217">
        <v>0</v>
      </c>
      <c r="I347" s="381" t="s">
        <v>26</v>
      </c>
      <c r="J347" s="378" t="s">
        <v>26</v>
      </c>
    </row>
    <row r="348" spans="2:10" ht="15.75" customHeight="1" x14ac:dyDescent="0.25">
      <c r="B348" s="440"/>
      <c r="C348" s="439"/>
      <c r="D348" s="217">
        <v>2018</v>
      </c>
      <c r="E348" s="217"/>
      <c r="F348" s="217"/>
      <c r="G348" s="217"/>
      <c r="H348" s="217">
        <v>0</v>
      </c>
      <c r="I348" s="382"/>
      <c r="J348" s="379"/>
    </row>
    <row r="349" spans="2:10" ht="15.75" customHeight="1" x14ac:dyDescent="0.25">
      <c r="B349" s="440"/>
      <c r="C349" s="439"/>
      <c r="D349" s="217">
        <v>2019</v>
      </c>
      <c r="E349" s="217"/>
      <c r="F349" s="217"/>
      <c r="G349" s="217"/>
      <c r="H349" s="217">
        <v>0</v>
      </c>
      <c r="I349" s="383"/>
      <c r="J349" s="380"/>
    </row>
    <row r="350" spans="2:10" ht="15.75" customHeight="1" x14ac:dyDescent="0.25">
      <c r="B350" s="440" t="s">
        <v>723</v>
      </c>
      <c r="C350" s="439" t="s">
        <v>724</v>
      </c>
      <c r="D350" s="217">
        <v>2017</v>
      </c>
      <c r="E350" s="217"/>
      <c r="F350" s="217" t="s">
        <v>966</v>
      </c>
      <c r="G350" s="217"/>
      <c r="H350" s="217">
        <v>1</v>
      </c>
      <c r="I350" s="381" t="s">
        <v>953</v>
      </c>
      <c r="J350" s="378" t="s">
        <v>1009</v>
      </c>
    </row>
    <row r="351" spans="2:10" ht="15.75" customHeight="1" x14ac:dyDescent="0.25">
      <c r="B351" s="440"/>
      <c r="C351" s="439"/>
      <c r="D351" s="217">
        <v>2018</v>
      </c>
      <c r="E351" s="217"/>
      <c r="F351" s="217" t="s">
        <v>966</v>
      </c>
      <c r="G351" s="217"/>
      <c r="H351" s="217">
        <v>1</v>
      </c>
      <c r="I351" s="383"/>
      <c r="J351" s="380"/>
    </row>
    <row r="352" spans="2:10" ht="15.75" customHeight="1" x14ac:dyDescent="0.25">
      <c r="B352" s="440"/>
      <c r="C352" s="439"/>
      <c r="D352" s="217">
        <v>2019</v>
      </c>
      <c r="E352" s="217"/>
      <c r="F352" s="217" t="s">
        <v>966</v>
      </c>
      <c r="G352" s="217"/>
      <c r="H352" s="217">
        <v>1</v>
      </c>
      <c r="I352" s="248" t="s">
        <v>1011</v>
      </c>
      <c r="J352" s="218" t="s">
        <v>1010</v>
      </c>
    </row>
    <row r="353" spans="2:10" ht="15.75" customHeight="1" x14ac:dyDescent="0.25">
      <c r="B353" s="440" t="s">
        <v>727</v>
      </c>
      <c r="C353" s="439" t="s">
        <v>728</v>
      </c>
      <c r="D353" s="217">
        <v>2017</v>
      </c>
      <c r="E353" s="217" t="s">
        <v>966</v>
      </c>
      <c r="F353" s="217"/>
      <c r="G353" s="217"/>
      <c r="H353" s="248">
        <v>1</v>
      </c>
      <c r="I353" s="381" t="s">
        <v>1012</v>
      </c>
      <c r="J353" s="378" t="s">
        <v>1013</v>
      </c>
    </row>
    <row r="354" spans="2:10" ht="15.75" customHeight="1" x14ac:dyDescent="0.25">
      <c r="B354" s="440"/>
      <c r="C354" s="439"/>
      <c r="D354" s="217">
        <v>2018</v>
      </c>
      <c r="E354" s="217" t="s">
        <v>966</v>
      </c>
      <c r="F354" s="217"/>
      <c r="G354" s="217"/>
      <c r="H354" s="248">
        <v>1</v>
      </c>
      <c r="I354" s="382"/>
      <c r="J354" s="379"/>
    </row>
    <row r="355" spans="2:10" ht="15.75" customHeight="1" x14ac:dyDescent="0.25">
      <c r="B355" s="440"/>
      <c r="C355" s="439"/>
      <c r="D355" s="217">
        <v>2019</v>
      </c>
      <c r="E355" s="217" t="s">
        <v>966</v>
      </c>
      <c r="F355" s="217"/>
      <c r="G355" s="217"/>
      <c r="H355" s="248">
        <v>1</v>
      </c>
      <c r="I355" s="383"/>
      <c r="J355" s="380"/>
    </row>
    <row r="356" spans="2:10" ht="15.75" customHeight="1" x14ac:dyDescent="0.25">
      <c r="B356" s="440" t="s">
        <v>731</v>
      </c>
      <c r="C356" s="439" t="s">
        <v>732</v>
      </c>
      <c r="D356" s="217">
        <v>2017</v>
      </c>
      <c r="E356" s="217"/>
      <c r="F356" s="217"/>
      <c r="G356" s="217"/>
      <c r="H356" s="248">
        <v>0</v>
      </c>
      <c r="I356" s="381" t="s">
        <v>26</v>
      </c>
      <c r="J356" s="378" t="s">
        <v>26</v>
      </c>
    </row>
    <row r="357" spans="2:10" ht="15.75" customHeight="1" x14ac:dyDescent="0.25">
      <c r="B357" s="440"/>
      <c r="C357" s="439"/>
      <c r="D357" s="217">
        <v>2018</v>
      </c>
      <c r="E357" s="217"/>
      <c r="F357" s="217"/>
      <c r="G357" s="217"/>
      <c r="H357" s="248">
        <v>0</v>
      </c>
      <c r="I357" s="382"/>
      <c r="J357" s="379"/>
    </row>
    <row r="358" spans="2:10" ht="15.75" customHeight="1" x14ac:dyDescent="0.25">
      <c r="B358" s="440"/>
      <c r="C358" s="439"/>
      <c r="D358" s="217">
        <v>2019</v>
      </c>
      <c r="E358" s="217"/>
      <c r="F358" s="217"/>
      <c r="G358" s="217"/>
      <c r="H358" s="248">
        <v>0</v>
      </c>
      <c r="I358" s="383"/>
      <c r="J358" s="380"/>
    </row>
    <row r="359" spans="2:10" ht="15.75" customHeight="1" x14ac:dyDescent="0.25">
      <c r="B359" s="440" t="s">
        <v>735</v>
      </c>
      <c r="C359" s="439" t="s">
        <v>736</v>
      </c>
      <c r="D359" s="217">
        <v>2017</v>
      </c>
      <c r="E359" s="217" t="s">
        <v>17</v>
      </c>
      <c r="F359" s="217"/>
      <c r="G359" s="217"/>
      <c r="H359" s="217">
        <v>1</v>
      </c>
      <c r="I359" s="381" t="s">
        <v>1014</v>
      </c>
      <c r="J359" s="378" t="s">
        <v>1015</v>
      </c>
    </row>
    <row r="360" spans="2:10" ht="15.75" customHeight="1" x14ac:dyDescent="0.25">
      <c r="B360" s="440"/>
      <c r="C360" s="439"/>
      <c r="D360" s="217">
        <v>2018</v>
      </c>
      <c r="E360" s="217" t="s">
        <v>17</v>
      </c>
      <c r="F360" s="217"/>
      <c r="G360" s="217"/>
      <c r="H360" s="217">
        <v>1</v>
      </c>
      <c r="I360" s="382"/>
      <c r="J360" s="379"/>
    </row>
    <row r="361" spans="2:10" ht="15.75" customHeight="1" x14ac:dyDescent="0.25">
      <c r="B361" s="440"/>
      <c r="C361" s="439"/>
      <c r="D361" s="217">
        <v>2019</v>
      </c>
      <c r="E361" s="217" t="s">
        <v>17</v>
      </c>
      <c r="F361" s="217"/>
      <c r="G361" s="217"/>
      <c r="H361" s="217">
        <v>1</v>
      </c>
      <c r="I361" s="383"/>
      <c r="J361" s="380"/>
    </row>
    <row r="362" spans="2:10" ht="15.75" customHeight="1" x14ac:dyDescent="0.25">
      <c r="B362" s="440" t="s">
        <v>739</v>
      </c>
      <c r="C362" s="439" t="s">
        <v>740</v>
      </c>
      <c r="D362" s="217">
        <v>2017</v>
      </c>
      <c r="E362" s="217"/>
      <c r="F362" s="217"/>
      <c r="G362" s="217"/>
      <c r="H362" s="217">
        <v>0</v>
      </c>
      <c r="I362" s="381" t="s">
        <v>26</v>
      </c>
      <c r="J362" s="378" t="s">
        <v>26</v>
      </c>
    </row>
    <row r="363" spans="2:10" ht="15.75" customHeight="1" x14ac:dyDescent="0.25">
      <c r="B363" s="440"/>
      <c r="C363" s="439"/>
      <c r="D363" s="217">
        <v>2018</v>
      </c>
      <c r="E363" s="217"/>
      <c r="F363" s="217"/>
      <c r="G363" s="217"/>
      <c r="H363" s="217">
        <v>0</v>
      </c>
      <c r="I363" s="382"/>
      <c r="J363" s="379"/>
    </row>
    <row r="364" spans="2:10" ht="15.75" customHeight="1" x14ac:dyDescent="0.25">
      <c r="B364" s="440"/>
      <c r="C364" s="439"/>
      <c r="D364" s="217">
        <v>2019</v>
      </c>
      <c r="E364" s="217"/>
      <c r="F364" s="217"/>
      <c r="G364" s="217"/>
      <c r="H364" s="217">
        <v>0</v>
      </c>
      <c r="I364" s="383"/>
      <c r="J364" s="380"/>
    </row>
    <row r="365" spans="2:10" ht="15.75" customHeight="1" x14ac:dyDescent="0.25">
      <c r="B365" s="440" t="s">
        <v>743</v>
      </c>
      <c r="C365" s="439" t="s">
        <v>744</v>
      </c>
      <c r="D365" s="217">
        <v>2017</v>
      </c>
      <c r="E365" s="217" t="s">
        <v>17</v>
      </c>
      <c r="F365" s="217"/>
      <c r="G365" s="217"/>
      <c r="H365" s="250">
        <v>1</v>
      </c>
      <c r="I365" s="381" t="s">
        <v>1014</v>
      </c>
      <c r="J365" s="378" t="s">
        <v>1015</v>
      </c>
    </row>
    <row r="366" spans="2:10" ht="15.75" customHeight="1" x14ac:dyDescent="0.25">
      <c r="B366" s="440"/>
      <c r="C366" s="439"/>
      <c r="D366" s="217">
        <v>2018</v>
      </c>
      <c r="E366" s="217" t="s">
        <v>17</v>
      </c>
      <c r="F366" s="217"/>
      <c r="G366" s="217"/>
      <c r="H366" s="250">
        <v>1</v>
      </c>
      <c r="I366" s="382"/>
      <c r="J366" s="379"/>
    </row>
    <row r="367" spans="2:10" ht="15.75" customHeight="1" x14ac:dyDescent="0.25">
      <c r="B367" s="440"/>
      <c r="C367" s="439"/>
      <c r="D367" s="217">
        <v>2019</v>
      </c>
      <c r="E367" s="217" t="s">
        <v>17</v>
      </c>
      <c r="F367" s="217"/>
      <c r="G367" s="217"/>
      <c r="H367" s="250">
        <v>1</v>
      </c>
      <c r="I367" s="383"/>
      <c r="J367" s="380"/>
    </row>
    <row r="368" spans="2:10" ht="15.75" customHeight="1" x14ac:dyDescent="0.25">
      <c r="B368" s="440" t="s">
        <v>757</v>
      </c>
      <c r="C368" s="439" t="s">
        <v>758</v>
      </c>
      <c r="D368" s="217">
        <v>2017</v>
      </c>
      <c r="E368" s="217"/>
      <c r="F368" s="217"/>
      <c r="G368" s="217"/>
      <c r="H368" s="250">
        <v>0</v>
      </c>
      <c r="I368" s="381" t="s">
        <v>26</v>
      </c>
      <c r="J368" s="378" t="s">
        <v>26</v>
      </c>
    </row>
    <row r="369" spans="2:10" ht="15.75" customHeight="1" x14ac:dyDescent="0.25">
      <c r="B369" s="440"/>
      <c r="C369" s="439"/>
      <c r="D369" s="217">
        <v>2018</v>
      </c>
      <c r="E369" s="217"/>
      <c r="F369" s="217"/>
      <c r="G369" s="217"/>
      <c r="H369" s="250">
        <v>0</v>
      </c>
      <c r="I369" s="382"/>
      <c r="J369" s="379"/>
    </row>
    <row r="370" spans="2:10" ht="15.75" customHeight="1" x14ac:dyDescent="0.25">
      <c r="B370" s="440"/>
      <c r="C370" s="439"/>
      <c r="D370" s="217">
        <v>2019</v>
      </c>
      <c r="E370" s="217"/>
      <c r="F370" s="217"/>
      <c r="G370" s="217"/>
      <c r="H370" s="250">
        <v>0</v>
      </c>
      <c r="I370" s="383"/>
      <c r="J370" s="380"/>
    </row>
    <row r="371" spans="2:10" ht="15.75" customHeight="1" x14ac:dyDescent="0.25">
      <c r="B371" s="440" t="s">
        <v>760</v>
      </c>
      <c r="C371" s="439" t="s">
        <v>761</v>
      </c>
      <c r="D371" s="217">
        <v>2017</v>
      </c>
      <c r="E371" s="217"/>
      <c r="F371" s="217"/>
      <c r="G371" s="217"/>
      <c r="H371" s="250">
        <v>0</v>
      </c>
      <c r="I371" s="381" t="s">
        <v>26</v>
      </c>
      <c r="J371" s="378" t="s">
        <v>26</v>
      </c>
    </row>
    <row r="372" spans="2:10" ht="15.75" customHeight="1" x14ac:dyDescent="0.25">
      <c r="B372" s="440"/>
      <c r="C372" s="439"/>
      <c r="D372" s="217">
        <v>2018</v>
      </c>
      <c r="E372" s="217"/>
      <c r="F372" s="217"/>
      <c r="G372" s="217"/>
      <c r="H372" s="250">
        <v>0</v>
      </c>
      <c r="I372" s="382"/>
      <c r="J372" s="379"/>
    </row>
    <row r="373" spans="2:10" ht="15.75" customHeight="1" x14ac:dyDescent="0.25">
      <c r="B373" s="440"/>
      <c r="C373" s="439"/>
      <c r="D373" s="217">
        <v>2019</v>
      </c>
      <c r="E373" s="217"/>
      <c r="F373" s="217"/>
      <c r="G373" s="217"/>
      <c r="H373" s="250">
        <v>0</v>
      </c>
      <c r="I373" s="383"/>
      <c r="J373" s="380"/>
    </row>
    <row r="374" spans="2:10" ht="15.75" customHeight="1" x14ac:dyDescent="0.25">
      <c r="B374" s="440" t="s">
        <v>770</v>
      </c>
      <c r="C374" s="439" t="s">
        <v>771</v>
      </c>
      <c r="D374" s="217">
        <v>2017</v>
      </c>
      <c r="E374" s="217"/>
      <c r="F374" s="217" t="s">
        <v>17</v>
      </c>
      <c r="G374" s="217"/>
      <c r="H374" s="217">
        <v>1</v>
      </c>
      <c r="I374" s="381" t="s">
        <v>1017</v>
      </c>
      <c r="J374" s="378" t="s">
        <v>1016</v>
      </c>
    </row>
    <row r="375" spans="2:10" ht="15.75" customHeight="1" x14ac:dyDescent="0.25">
      <c r="B375" s="440"/>
      <c r="C375" s="439"/>
      <c r="D375" s="217">
        <v>2018</v>
      </c>
      <c r="E375" s="217"/>
      <c r="F375" s="217" t="s">
        <v>17</v>
      </c>
      <c r="G375" s="217"/>
      <c r="H375" s="217">
        <v>1</v>
      </c>
      <c r="I375" s="382"/>
      <c r="J375" s="379"/>
    </row>
    <row r="376" spans="2:10" ht="15.75" customHeight="1" x14ac:dyDescent="0.25">
      <c r="B376" s="440"/>
      <c r="C376" s="439"/>
      <c r="D376" s="217">
        <v>2019</v>
      </c>
      <c r="E376" s="217"/>
      <c r="F376" s="217" t="s">
        <v>17</v>
      </c>
      <c r="G376" s="217"/>
      <c r="H376" s="217">
        <v>1</v>
      </c>
      <c r="I376" s="383"/>
      <c r="J376" s="380"/>
    </row>
    <row r="377" spans="2:10" ht="15.75" customHeight="1" x14ac:dyDescent="0.25">
      <c r="B377" s="440" t="s">
        <v>774</v>
      </c>
      <c r="C377" s="439" t="s">
        <v>775</v>
      </c>
      <c r="D377" s="217">
        <v>2017</v>
      </c>
      <c r="E377" s="217"/>
      <c r="F377" s="217"/>
      <c r="G377" s="217"/>
      <c r="H377" s="250">
        <v>0</v>
      </c>
      <c r="I377" s="381" t="s">
        <v>26</v>
      </c>
      <c r="J377" s="378" t="s">
        <v>26</v>
      </c>
    </row>
    <row r="378" spans="2:10" ht="15.75" customHeight="1" x14ac:dyDescent="0.25">
      <c r="B378" s="440"/>
      <c r="C378" s="439"/>
      <c r="D378" s="217">
        <v>2018</v>
      </c>
      <c r="E378" s="217"/>
      <c r="F378" s="217"/>
      <c r="G378" s="217"/>
      <c r="H378" s="250">
        <v>0</v>
      </c>
      <c r="I378" s="382"/>
      <c r="J378" s="379"/>
    </row>
    <row r="379" spans="2:10" ht="15.75" customHeight="1" x14ac:dyDescent="0.25">
      <c r="B379" s="440"/>
      <c r="C379" s="439"/>
      <c r="D379" s="217">
        <v>2019</v>
      </c>
      <c r="E379" s="217"/>
      <c r="F379" s="217"/>
      <c r="G379" s="217"/>
      <c r="H379" s="250">
        <v>0</v>
      </c>
      <c r="I379" s="383"/>
      <c r="J379" s="380"/>
    </row>
    <row r="380" spans="2:10" ht="15.75" customHeight="1" x14ac:dyDescent="0.25">
      <c r="B380" s="440" t="s">
        <v>786</v>
      </c>
      <c r="C380" s="439" t="s">
        <v>787</v>
      </c>
      <c r="D380" s="217">
        <v>2017</v>
      </c>
      <c r="E380" s="217"/>
      <c r="F380" s="217" t="s">
        <v>966</v>
      </c>
      <c r="G380" s="217"/>
      <c r="H380" s="217">
        <v>1</v>
      </c>
      <c r="I380" s="381" t="s">
        <v>1019</v>
      </c>
      <c r="J380" s="378" t="s">
        <v>1018</v>
      </c>
    </row>
    <row r="381" spans="2:10" ht="15.75" customHeight="1" x14ac:dyDescent="0.25">
      <c r="B381" s="440"/>
      <c r="C381" s="439"/>
      <c r="D381" s="217">
        <v>2018</v>
      </c>
      <c r="E381" s="217"/>
      <c r="F381" s="217" t="s">
        <v>966</v>
      </c>
      <c r="G381" s="217"/>
      <c r="H381" s="217">
        <v>1</v>
      </c>
      <c r="I381" s="382"/>
      <c r="J381" s="379"/>
    </row>
    <row r="382" spans="2:10" ht="15.75" customHeight="1" x14ac:dyDescent="0.25">
      <c r="B382" s="440"/>
      <c r="C382" s="439"/>
      <c r="D382" s="217">
        <v>2019</v>
      </c>
      <c r="E382" s="217"/>
      <c r="F382" s="217" t="s">
        <v>966</v>
      </c>
      <c r="G382" s="217"/>
      <c r="H382" s="217">
        <v>1</v>
      </c>
      <c r="I382" s="383"/>
      <c r="J382" s="380"/>
    </row>
    <row r="383" spans="2:10" ht="15.75" customHeight="1" x14ac:dyDescent="0.25">
      <c r="B383" s="440" t="s">
        <v>789</v>
      </c>
      <c r="C383" s="439" t="s">
        <v>790</v>
      </c>
      <c r="D383" s="217">
        <v>2017</v>
      </c>
      <c r="E383" s="217"/>
      <c r="F383" s="250" t="s">
        <v>966</v>
      </c>
      <c r="G383" s="217"/>
      <c r="H383" s="250">
        <v>1</v>
      </c>
      <c r="I383" s="378" t="s">
        <v>1021</v>
      </c>
      <c r="J383" s="378" t="s">
        <v>1020</v>
      </c>
    </row>
    <row r="384" spans="2:10" ht="15.75" customHeight="1" x14ac:dyDescent="0.25">
      <c r="B384" s="440"/>
      <c r="C384" s="439"/>
      <c r="D384" s="217">
        <v>2018</v>
      </c>
      <c r="E384" s="217"/>
      <c r="F384" s="250" t="s">
        <v>966</v>
      </c>
      <c r="G384" s="217"/>
      <c r="H384" s="250">
        <v>1</v>
      </c>
      <c r="I384" s="379"/>
      <c r="J384" s="379"/>
    </row>
    <row r="385" spans="2:10" ht="15.75" customHeight="1" x14ac:dyDescent="0.25">
      <c r="B385" s="440"/>
      <c r="C385" s="439"/>
      <c r="D385" s="217">
        <v>2019</v>
      </c>
      <c r="E385" s="217"/>
      <c r="F385" s="250" t="s">
        <v>966</v>
      </c>
      <c r="G385" s="217"/>
      <c r="H385" s="250">
        <v>1</v>
      </c>
      <c r="I385" s="380"/>
      <c r="J385" s="380"/>
    </row>
    <row r="386" spans="2:10" ht="15.75" customHeight="1" x14ac:dyDescent="0.25">
      <c r="B386" s="440" t="s">
        <v>794</v>
      </c>
      <c r="C386" s="439" t="s">
        <v>795</v>
      </c>
      <c r="D386" s="217">
        <v>2017</v>
      </c>
      <c r="E386" s="217"/>
      <c r="F386" s="217" t="s">
        <v>966</v>
      </c>
      <c r="G386" s="217"/>
      <c r="H386" s="250">
        <v>1</v>
      </c>
      <c r="I386" s="381" t="s">
        <v>1023</v>
      </c>
      <c r="J386" s="378" t="s">
        <v>1022</v>
      </c>
    </row>
    <row r="387" spans="2:10" ht="15.75" customHeight="1" x14ac:dyDescent="0.25">
      <c r="B387" s="440"/>
      <c r="C387" s="439"/>
      <c r="D387" s="217">
        <v>2018</v>
      </c>
      <c r="E387" s="217"/>
      <c r="F387" s="217" t="s">
        <v>966</v>
      </c>
      <c r="G387" s="217"/>
      <c r="H387" s="250">
        <v>1</v>
      </c>
      <c r="I387" s="382"/>
      <c r="J387" s="379"/>
    </row>
    <row r="388" spans="2:10" ht="15.75" customHeight="1" x14ac:dyDescent="0.25">
      <c r="B388" s="440"/>
      <c r="C388" s="439"/>
      <c r="D388" s="217">
        <v>2019</v>
      </c>
      <c r="E388" s="217"/>
      <c r="F388" s="217" t="s">
        <v>966</v>
      </c>
      <c r="G388" s="217"/>
      <c r="H388" s="250">
        <v>1</v>
      </c>
      <c r="I388" s="383"/>
      <c r="J388" s="380"/>
    </row>
    <row r="389" spans="2:10" ht="15.75" customHeight="1" x14ac:dyDescent="0.25">
      <c r="B389" s="440" t="s">
        <v>800</v>
      </c>
      <c r="C389" s="439" t="s">
        <v>801</v>
      </c>
      <c r="D389" s="217">
        <v>2017</v>
      </c>
      <c r="E389" s="217"/>
      <c r="F389" s="217" t="s">
        <v>17</v>
      </c>
      <c r="G389" s="217"/>
      <c r="H389" s="250">
        <v>1</v>
      </c>
      <c r="I389" s="381" t="s">
        <v>1024</v>
      </c>
      <c r="J389" s="378" t="s">
        <v>1025</v>
      </c>
    </row>
    <row r="390" spans="2:10" ht="15.75" customHeight="1" x14ac:dyDescent="0.25">
      <c r="B390" s="440"/>
      <c r="C390" s="439"/>
      <c r="D390" s="217">
        <v>2018</v>
      </c>
      <c r="E390" s="217"/>
      <c r="F390" s="217" t="s">
        <v>17</v>
      </c>
      <c r="G390" s="217"/>
      <c r="H390" s="250">
        <v>1</v>
      </c>
      <c r="I390" s="382"/>
      <c r="J390" s="379"/>
    </row>
    <row r="391" spans="2:10" ht="15.75" customHeight="1" x14ac:dyDescent="0.25">
      <c r="B391" s="440"/>
      <c r="C391" s="439"/>
      <c r="D391" s="217">
        <v>2019</v>
      </c>
      <c r="E391" s="217"/>
      <c r="F391" s="217" t="s">
        <v>17</v>
      </c>
      <c r="G391" s="217"/>
      <c r="H391" s="250">
        <v>1</v>
      </c>
      <c r="I391" s="383"/>
      <c r="J391" s="380"/>
    </row>
    <row r="392" spans="2:10" ht="15.75" customHeight="1" x14ac:dyDescent="0.25">
      <c r="B392" s="440" t="s">
        <v>814</v>
      </c>
      <c r="C392" s="439" t="s">
        <v>815</v>
      </c>
      <c r="D392" s="217">
        <v>2017</v>
      </c>
      <c r="E392" s="217"/>
      <c r="F392" s="217" t="s">
        <v>17</v>
      </c>
      <c r="G392" s="217"/>
      <c r="H392" s="250">
        <v>1</v>
      </c>
      <c r="I392" s="217" t="s">
        <v>986</v>
      </c>
      <c r="J392" s="249" t="s">
        <v>1026</v>
      </c>
    </row>
    <row r="393" spans="2:10" ht="15.75" customHeight="1" x14ac:dyDescent="0.25">
      <c r="B393" s="440"/>
      <c r="C393" s="439"/>
      <c r="D393" s="217">
        <v>2018</v>
      </c>
      <c r="E393" s="217" t="s">
        <v>17</v>
      </c>
      <c r="F393" s="217"/>
      <c r="G393" s="217"/>
      <c r="H393" s="250">
        <v>1</v>
      </c>
      <c r="I393" s="381" t="s">
        <v>1014</v>
      </c>
      <c r="J393" s="378" t="s">
        <v>1015</v>
      </c>
    </row>
    <row r="394" spans="2:10" ht="15.75" customHeight="1" x14ac:dyDescent="0.25">
      <c r="B394" s="440"/>
      <c r="C394" s="439"/>
      <c r="D394" s="217">
        <v>2019</v>
      </c>
      <c r="E394" s="217" t="s">
        <v>17</v>
      </c>
      <c r="F394" s="217"/>
      <c r="G394" s="217"/>
      <c r="H394" s="250">
        <v>1</v>
      </c>
      <c r="I394" s="383"/>
      <c r="J394" s="380"/>
    </row>
    <row r="395" spans="2:10" ht="15.75" customHeight="1" x14ac:dyDescent="0.25">
      <c r="B395" s="440" t="s">
        <v>818</v>
      </c>
      <c r="C395" s="439" t="s">
        <v>819</v>
      </c>
      <c r="D395" s="217">
        <v>2017</v>
      </c>
      <c r="E395" s="217"/>
      <c r="F395" s="217"/>
      <c r="G395" s="217"/>
      <c r="H395" s="250">
        <v>0</v>
      </c>
      <c r="I395" s="381" t="s">
        <v>26</v>
      </c>
      <c r="J395" s="378" t="s">
        <v>26</v>
      </c>
    </row>
    <row r="396" spans="2:10" ht="15.75" customHeight="1" x14ac:dyDescent="0.25">
      <c r="B396" s="440"/>
      <c r="C396" s="439"/>
      <c r="D396" s="217">
        <v>2018</v>
      </c>
      <c r="E396" s="217"/>
      <c r="F396" s="217"/>
      <c r="G396" s="217"/>
      <c r="H396" s="250">
        <v>0</v>
      </c>
      <c r="I396" s="382"/>
      <c r="J396" s="379"/>
    </row>
    <row r="397" spans="2:10" ht="15.75" customHeight="1" x14ac:dyDescent="0.25">
      <c r="B397" s="440"/>
      <c r="C397" s="439"/>
      <c r="D397" s="217">
        <v>2019</v>
      </c>
      <c r="E397" s="217"/>
      <c r="F397" s="217"/>
      <c r="G397" s="217"/>
      <c r="H397" s="250">
        <v>0</v>
      </c>
      <c r="I397" s="383"/>
      <c r="J397" s="380"/>
    </row>
    <row r="398" spans="2:10" ht="15.75" customHeight="1" x14ac:dyDescent="0.25">
      <c r="B398" s="440" t="s">
        <v>841</v>
      </c>
      <c r="C398" s="439" t="s">
        <v>842</v>
      </c>
      <c r="D398" s="217">
        <v>2017</v>
      </c>
      <c r="E398" s="217"/>
      <c r="F398" s="217" t="s">
        <v>966</v>
      </c>
      <c r="G398" s="217"/>
      <c r="H398" s="217">
        <v>1</v>
      </c>
      <c r="I398" s="381" t="s">
        <v>1027</v>
      </c>
      <c r="J398" s="378" t="s">
        <v>1028</v>
      </c>
    </row>
    <row r="399" spans="2:10" ht="15.75" customHeight="1" x14ac:dyDescent="0.25">
      <c r="B399" s="440"/>
      <c r="C399" s="439"/>
      <c r="D399" s="217">
        <v>2018</v>
      </c>
      <c r="E399" s="217"/>
      <c r="F399" s="217" t="s">
        <v>966</v>
      </c>
      <c r="G399" s="217"/>
      <c r="H399" s="217">
        <v>1</v>
      </c>
      <c r="I399" s="382"/>
      <c r="J399" s="379"/>
    </row>
    <row r="400" spans="2:10" ht="15.75" customHeight="1" x14ac:dyDescent="0.25">
      <c r="B400" s="440"/>
      <c r="C400" s="439"/>
      <c r="D400" s="217">
        <v>2019</v>
      </c>
      <c r="E400" s="217"/>
      <c r="F400" s="217" t="s">
        <v>966</v>
      </c>
      <c r="G400" s="217"/>
      <c r="H400" s="217">
        <v>1</v>
      </c>
      <c r="I400" s="383"/>
      <c r="J400" s="380"/>
    </row>
    <row r="401" spans="2:10" ht="15.75" customHeight="1" x14ac:dyDescent="0.25">
      <c r="B401" s="440" t="s">
        <v>843</v>
      </c>
      <c r="C401" s="439" t="s">
        <v>844</v>
      </c>
      <c r="D401" s="217">
        <v>2017</v>
      </c>
      <c r="E401" s="217"/>
      <c r="F401" s="250" t="s">
        <v>966</v>
      </c>
      <c r="G401" s="217"/>
      <c r="H401" s="250">
        <v>1</v>
      </c>
      <c r="I401" s="381" t="s">
        <v>1029</v>
      </c>
      <c r="J401" s="378" t="s">
        <v>1030</v>
      </c>
    </row>
    <row r="402" spans="2:10" ht="15.75" customHeight="1" x14ac:dyDescent="0.25">
      <c r="B402" s="440"/>
      <c r="C402" s="439"/>
      <c r="D402" s="217">
        <v>2018</v>
      </c>
      <c r="E402" s="217"/>
      <c r="F402" s="250" t="s">
        <v>966</v>
      </c>
      <c r="G402" s="217"/>
      <c r="H402" s="250">
        <v>1</v>
      </c>
      <c r="I402" s="382"/>
      <c r="J402" s="379"/>
    </row>
    <row r="403" spans="2:10" ht="15.75" customHeight="1" x14ac:dyDescent="0.25">
      <c r="B403" s="440"/>
      <c r="C403" s="439"/>
      <c r="D403" s="217">
        <v>2019</v>
      </c>
      <c r="E403" s="217"/>
      <c r="F403" s="250" t="s">
        <v>966</v>
      </c>
      <c r="G403" s="217"/>
      <c r="H403" s="250">
        <v>1</v>
      </c>
      <c r="I403" s="383"/>
      <c r="J403" s="380"/>
    </row>
    <row r="404" spans="2:10" ht="15.75" customHeight="1" x14ac:dyDescent="0.25">
      <c r="B404" s="440" t="s">
        <v>845</v>
      </c>
      <c r="C404" s="439" t="s">
        <v>846</v>
      </c>
      <c r="D404" s="217">
        <v>2017</v>
      </c>
      <c r="E404" s="217" t="s">
        <v>966</v>
      </c>
      <c r="F404" s="217"/>
      <c r="G404" s="217"/>
      <c r="H404" s="250">
        <v>1</v>
      </c>
      <c r="I404" s="381" t="s">
        <v>1032</v>
      </c>
      <c r="J404" s="378" t="s">
        <v>1031</v>
      </c>
    </row>
    <row r="405" spans="2:10" ht="15.75" customHeight="1" x14ac:dyDescent="0.25">
      <c r="B405" s="440"/>
      <c r="C405" s="439"/>
      <c r="D405" s="217">
        <v>2018</v>
      </c>
      <c r="E405" s="217" t="s">
        <v>966</v>
      </c>
      <c r="F405" s="217"/>
      <c r="G405" s="217"/>
      <c r="H405" s="250">
        <v>1</v>
      </c>
      <c r="I405" s="382"/>
      <c r="J405" s="379"/>
    </row>
    <row r="406" spans="2:10" ht="15.75" customHeight="1" x14ac:dyDescent="0.25">
      <c r="B406" s="440"/>
      <c r="C406" s="439"/>
      <c r="D406" s="217">
        <v>2019</v>
      </c>
      <c r="E406" s="217" t="s">
        <v>966</v>
      </c>
      <c r="F406" s="217"/>
      <c r="G406" s="217"/>
      <c r="H406" s="250">
        <v>1</v>
      </c>
      <c r="I406" s="383"/>
      <c r="J406" s="380"/>
    </row>
    <row r="407" spans="2:10" ht="15.75" customHeight="1" x14ac:dyDescent="0.25">
      <c r="B407" s="440" t="s">
        <v>850</v>
      </c>
      <c r="C407" s="439" t="s">
        <v>851</v>
      </c>
      <c r="D407" s="217">
        <v>2017</v>
      </c>
      <c r="E407" s="217"/>
      <c r="F407" s="217" t="s">
        <v>966</v>
      </c>
      <c r="G407" s="217"/>
      <c r="H407" s="250">
        <v>1</v>
      </c>
      <c r="I407" s="381" t="s">
        <v>1033</v>
      </c>
      <c r="J407" s="378" t="s">
        <v>1034</v>
      </c>
    </row>
    <row r="408" spans="2:10" ht="15.75" customHeight="1" x14ac:dyDescent="0.25">
      <c r="B408" s="440"/>
      <c r="C408" s="439"/>
      <c r="D408" s="217">
        <v>2018</v>
      </c>
      <c r="E408" s="217"/>
      <c r="F408" s="217" t="s">
        <v>966</v>
      </c>
      <c r="G408" s="217"/>
      <c r="H408" s="250">
        <v>1</v>
      </c>
      <c r="I408" s="382"/>
      <c r="J408" s="379"/>
    </row>
    <row r="409" spans="2:10" ht="15.75" customHeight="1" x14ac:dyDescent="0.25">
      <c r="B409" s="440"/>
      <c r="C409" s="439"/>
      <c r="D409" s="217">
        <v>2019</v>
      </c>
      <c r="E409" s="217"/>
      <c r="F409" s="217" t="s">
        <v>966</v>
      </c>
      <c r="G409" s="217"/>
      <c r="H409" s="250">
        <v>1</v>
      </c>
      <c r="I409" s="383"/>
      <c r="J409" s="380"/>
    </row>
    <row r="410" spans="2:10" ht="15.75" customHeight="1" x14ac:dyDescent="0.25">
      <c r="B410" s="440" t="s">
        <v>857</v>
      </c>
      <c r="C410" s="439" t="s">
        <v>858</v>
      </c>
      <c r="D410" s="217">
        <v>2017</v>
      </c>
      <c r="E410" s="217"/>
      <c r="F410" s="217"/>
      <c r="G410" s="217"/>
      <c r="H410" s="250">
        <v>0</v>
      </c>
      <c r="I410" s="381" t="s">
        <v>26</v>
      </c>
      <c r="J410" s="378" t="s">
        <v>26</v>
      </c>
    </row>
    <row r="411" spans="2:10" ht="15.75" customHeight="1" x14ac:dyDescent="0.25">
      <c r="B411" s="440"/>
      <c r="C411" s="439"/>
      <c r="D411" s="217">
        <v>2018</v>
      </c>
      <c r="E411" s="217"/>
      <c r="F411" s="217"/>
      <c r="G411" s="217"/>
      <c r="H411" s="250">
        <v>0</v>
      </c>
      <c r="I411" s="382"/>
      <c r="J411" s="379"/>
    </row>
    <row r="412" spans="2:10" ht="15.75" customHeight="1" x14ac:dyDescent="0.25">
      <c r="B412" s="440"/>
      <c r="C412" s="439"/>
      <c r="D412" s="217">
        <v>2019</v>
      </c>
      <c r="E412" s="217"/>
      <c r="F412" s="217"/>
      <c r="G412" s="217"/>
      <c r="H412" s="250">
        <v>0</v>
      </c>
      <c r="I412" s="383"/>
      <c r="J412" s="380"/>
    </row>
    <row r="413" spans="2:10" ht="15.75" customHeight="1" x14ac:dyDescent="0.25">
      <c r="B413" s="440" t="s">
        <v>860</v>
      </c>
      <c r="C413" s="439" t="s">
        <v>861</v>
      </c>
      <c r="D413" s="217">
        <v>2017</v>
      </c>
      <c r="E413" s="217"/>
      <c r="F413" s="217" t="s">
        <v>966</v>
      </c>
      <c r="G413" s="217"/>
      <c r="H413" s="217">
        <v>1</v>
      </c>
      <c r="I413" s="381" t="s">
        <v>1036</v>
      </c>
      <c r="J413" s="378" t="s">
        <v>1035</v>
      </c>
    </row>
    <row r="414" spans="2:10" ht="15.75" customHeight="1" x14ac:dyDescent="0.25">
      <c r="B414" s="440"/>
      <c r="C414" s="439"/>
      <c r="D414" s="217">
        <v>2018</v>
      </c>
      <c r="E414" s="217"/>
      <c r="F414" s="217" t="s">
        <v>966</v>
      </c>
      <c r="G414" s="217"/>
      <c r="H414" s="217">
        <v>1</v>
      </c>
      <c r="I414" s="382"/>
      <c r="J414" s="379"/>
    </row>
    <row r="415" spans="2:10" ht="15.75" customHeight="1" x14ac:dyDescent="0.25">
      <c r="B415" s="440"/>
      <c r="C415" s="439"/>
      <c r="D415" s="217">
        <v>2019</v>
      </c>
      <c r="E415" s="217"/>
      <c r="F415" s="217" t="s">
        <v>966</v>
      </c>
      <c r="G415" s="217"/>
      <c r="H415" s="217">
        <v>1</v>
      </c>
      <c r="I415" s="383"/>
      <c r="J415" s="380"/>
    </row>
    <row r="416" spans="2:10" ht="15.75" customHeight="1" x14ac:dyDescent="0.25">
      <c r="B416" s="216"/>
      <c r="C416" s="215"/>
      <c r="F416" s="250"/>
    </row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46">
    <mergeCell ref="I56:I58"/>
    <mergeCell ref="J56:J58"/>
    <mergeCell ref="I404:I406"/>
    <mergeCell ref="J404:J406"/>
    <mergeCell ref="I407:I409"/>
    <mergeCell ref="J407:J409"/>
    <mergeCell ref="I410:I412"/>
    <mergeCell ref="J410:J412"/>
    <mergeCell ref="I413:I415"/>
    <mergeCell ref="J413:J415"/>
    <mergeCell ref="J389:J391"/>
    <mergeCell ref="I389:I391"/>
    <mergeCell ref="I393:I394"/>
    <mergeCell ref="J393:J394"/>
    <mergeCell ref="I395:I397"/>
    <mergeCell ref="J395:J397"/>
    <mergeCell ref="J398:J400"/>
    <mergeCell ref="I398:I400"/>
    <mergeCell ref="I401:I403"/>
    <mergeCell ref="J401:J403"/>
    <mergeCell ref="I374:I376"/>
    <mergeCell ref="J374:J376"/>
    <mergeCell ref="I377:I379"/>
    <mergeCell ref="J377:J379"/>
    <mergeCell ref="I380:I382"/>
    <mergeCell ref="J380:J382"/>
    <mergeCell ref="I383:I385"/>
    <mergeCell ref="J383:J385"/>
    <mergeCell ref="I386:I388"/>
    <mergeCell ref="J386:J388"/>
    <mergeCell ref="J359:J361"/>
    <mergeCell ref="I359:I361"/>
    <mergeCell ref="J362:J364"/>
    <mergeCell ref="I362:I364"/>
    <mergeCell ref="I365:I367"/>
    <mergeCell ref="J365:J367"/>
    <mergeCell ref="I368:I370"/>
    <mergeCell ref="J368:J370"/>
    <mergeCell ref="I371:I373"/>
    <mergeCell ref="J371:J373"/>
    <mergeCell ref="I275:I277"/>
    <mergeCell ref="J275:J277"/>
    <mergeCell ref="I278:I280"/>
    <mergeCell ref="J278:J280"/>
    <mergeCell ref="I266:I267"/>
    <mergeCell ref="J266:J267"/>
    <mergeCell ref="J263:J265"/>
    <mergeCell ref="I263:I265"/>
    <mergeCell ref="I269:I271"/>
    <mergeCell ref="J269:J271"/>
    <mergeCell ref="I272:I274"/>
    <mergeCell ref="J272:J274"/>
    <mergeCell ref="I248:I250"/>
    <mergeCell ref="J248:J250"/>
    <mergeCell ref="I251:I253"/>
    <mergeCell ref="J251:J253"/>
    <mergeCell ref="I254:I256"/>
    <mergeCell ref="J254:J256"/>
    <mergeCell ref="I257:I259"/>
    <mergeCell ref="J257:J259"/>
    <mergeCell ref="I260:I262"/>
    <mergeCell ref="J260:J262"/>
    <mergeCell ref="I215:I217"/>
    <mergeCell ref="J215:J217"/>
    <mergeCell ref="I218:I220"/>
    <mergeCell ref="J218:J220"/>
    <mergeCell ref="I221:I223"/>
    <mergeCell ref="J221:J223"/>
    <mergeCell ref="I200:I202"/>
    <mergeCell ref="J200:J202"/>
    <mergeCell ref="J203:J205"/>
    <mergeCell ref="I203:I205"/>
    <mergeCell ref="I206:I208"/>
    <mergeCell ref="J206:J208"/>
    <mergeCell ref="I209:I211"/>
    <mergeCell ref="J209:J211"/>
    <mergeCell ref="I212:I214"/>
    <mergeCell ref="J212:J214"/>
    <mergeCell ref="I185:I187"/>
    <mergeCell ref="J185:J187"/>
    <mergeCell ref="J188:J190"/>
    <mergeCell ref="I188:I190"/>
    <mergeCell ref="J191:J193"/>
    <mergeCell ref="I191:I193"/>
    <mergeCell ref="I194:I196"/>
    <mergeCell ref="J194:J196"/>
    <mergeCell ref="I197:I199"/>
    <mergeCell ref="J197:J199"/>
    <mergeCell ref="I161:I163"/>
    <mergeCell ref="J161:J163"/>
    <mergeCell ref="I164:I166"/>
    <mergeCell ref="J164:J166"/>
    <mergeCell ref="I152:I154"/>
    <mergeCell ref="J152:J154"/>
    <mergeCell ref="J156:J157"/>
    <mergeCell ref="I156:I157"/>
    <mergeCell ref="J158:J160"/>
    <mergeCell ref="I158:I160"/>
    <mergeCell ref="I74:I76"/>
    <mergeCell ref="J74:J76"/>
    <mergeCell ref="I77:I79"/>
    <mergeCell ref="J77:J79"/>
    <mergeCell ref="J80:J82"/>
    <mergeCell ref="I80:I82"/>
    <mergeCell ref="C413:C415"/>
    <mergeCell ref="B413:B415"/>
    <mergeCell ref="C386:C388"/>
    <mergeCell ref="B386:B388"/>
    <mergeCell ref="C389:C391"/>
    <mergeCell ref="B389:B391"/>
    <mergeCell ref="C392:C394"/>
    <mergeCell ref="B392:B394"/>
    <mergeCell ref="C407:C409"/>
    <mergeCell ref="B407:B409"/>
    <mergeCell ref="B410:B412"/>
    <mergeCell ref="C410:C412"/>
    <mergeCell ref="C398:C400"/>
    <mergeCell ref="B398:B400"/>
    <mergeCell ref="C401:C403"/>
    <mergeCell ref="B401:B403"/>
    <mergeCell ref="C404:C406"/>
    <mergeCell ref="B404:B406"/>
    <mergeCell ref="C395:C397"/>
    <mergeCell ref="B395:B397"/>
    <mergeCell ref="C320:C322"/>
    <mergeCell ref="B320:B322"/>
    <mergeCell ref="C323:C325"/>
    <mergeCell ref="B323:B325"/>
    <mergeCell ref="C326:C328"/>
    <mergeCell ref="B326:B328"/>
    <mergeCell ref="C293:C295"/>
    <mergeCell ref="B293:B295"/>
    <mergeCell ref="C296:C298"/>
    <mergeCell ref="B296:B298"/>
    <mergeCell ref="B299:B301"/>
    <mergeCell ref="C299:C301"/>
    <mergeCell ref="B302:B304"/>
    <mergeCell ref="C302:C304"/>
    <mergeCell ref="B305:B307"/>
    <mergeCell ref="C305:C307"/>
    <mergeCell ref="C308:C310"/>
    <mergeCell ref="B308:B310"/>
    <mergeCell ref="C311:C313"/>
    <mergeCell ref="B311:B313"/>
    <mergeCell ref="C314:C316"/>
    <mergeCell ref="B314:B316"/>
    <mergeCell ref="C317:C319"/>
    <mergeCell ref="B317:B319"/>
    <mergeCell ref="C272:C274"/>
    <mergeCell ref="B272:B274"/>
    <mergeCell ref="C275:C277"/>
    <mergeCell ref="B275:B277"/>
    <mergeCell ref="C278:C280"/>
    <mergeCell ref="B278:B280"/>
    <mergeCell ref="B281:B283"/>
    <mergeCell ref="C281:C283"/>
    <mergeCell ref="B284:B286"/>
    <mergeCell ref="C284:C286"/>
    <mergeCell ref="C287:C289"/>
    <mergeCell ref="B287:B289"/>
    <mergeCell ref="B290:B292"/>
    <mergeCell ref="C290:C292"/>
    <mergeCell ref="B155:B157"/>
    <mergeCell ref="C155:C157"/>
    <mergeCell ref="C224:C226"/>
    <mergeCell ref="B224:B226"/>
    <mergeCell ref="C248:C250"/>
    <mergeCell ref="B248:B250"/>
    <mergeCell ref="C251:C253"/>
    <mergeCell ref="B251:B253"/>
    <mergeCell ref="B182:B184"/>
    <mergeCell ref="C182:C184"/>
    <mergeCell ref="C167:C169"/>
    <mergeCell ref="B167:B169"/>
    <mergeCell ref="C176:C178"/>
    <mergeCell ref="B176:B178"/>
    <mergeCell ref="C179:C181"/>
    <mergeCell ref="B179:B181"/>
    <mergeCell ref="B173:B175"/>
    <mergeCell ref="C173:C175"/>
    <mergeCell ref="B164:B166"/>
    <mergeCell ref="C164:C166"/>
    <mergeCell ref="B161:B163"/>
    <mergeCell ref="C161:C163"/>
    <mergeCell ref="B236:B238"/>
    <mergeCell ref="C236:C238"/>
    <mergeCell ref="C269:C271"/>
    <mergeCell ref="B269:B271"/>
    <mergeCell ref="B206:B208"/>
    <mergeCell ref="C206:C208"/>
    <mergeCell ref="C146:C148"/>
    <mergeCell ref="B146:B148"/>
    <mergeCell ref="C149:C151"/>
    <mergeCell ref="B149:B151"/>
    <mergeCell ref="C203:C205"/>
    <mergeCell ref="B203:B205"/>
    <mergeCell ref="B200:B202"/>
    <mergeCell ref="C200:C202"/>
    <mergeCell ref="C197:C199"/>
    <mergeCell ref="B197:B199"/>
    <mergeCell ref="C152:C154"/>
    <mergeCell ref="B152:B154"/>
    <mergeCell ref="C185:C187"/>
    <mergeCell ref="B185:B187"/>
    <mergeCell ref="C188:C190"/>
    <mergeCell ref="B188:B190"/>
    <mergeCell ref="C158:C160"/>
    <mergeCell ref="B158:B160"/>
    <mergeCell ref="C170:C172"/>
    <mergeCell ref="B170:B172"/>
    <mergeCell ref="C113:C115"/>
    <mergeCell ref="B113:B115"/>
    <mergeCell ref="B119:B121"/>
    <mergeCell ref="C119:C121"/>
    <mergeCell ref="C131:C133"/>
    <mergeCell ref="B131:B133"/>
    <mergeCell ref="C116:C118"/>
    <mergeCell ref="B116:B118"/>
    <mergeCell ref="B122:B124"/>
    <mergeCell ref="C122:C124"/>
    <mergeCell ref="C125:C127"/>
    <mergeCell ref="B125:B127"/>
    <mergeCell ref="B128:B130"/>
    <mergeCell ref="C128:C130"/>
    <mergeCell ref="B89:B91"/>
    <mergeCell ref="C89:C91"/>
    <mergeCell ref="B143:B145"/>
    <mergeCell ref="C143:C145"/>
    <mergeCell ref="C134:C136"/>
    <mergeCell ref="B134:B136"/>
    <mergeCell ref="C137:C139"/>
    <mergeCell ref="B137:B139"/>
    <mergeCell ref="B140:B142"/>
    <mergeCell ref="C140:C142"/>
    <mergeCell ref="C92:C94"/>
    <mergeCell ref="B92:B94"/>
    <mergeCell ref="B107:B109"/>
    <mergeCell ref="C107:C109"/>
    <mergeCell ref="B101:B103"/>
    <mergeCell ref="C101:C103"/>
    <mergeCell ref="B104:B106"/>
    <mergeCell ref="C104:C106"/>
    <mergeCell ref="C95:C97"/>
    <mergeCell ref="B95:B97"/>
    <mergeCell ref="C98:C100"/>
    <mergeCell ref="B98:B100"/>
    <mergeCell ref="B110:B112"/>
    <mergeCell ref="C110:C112"/>
    <mergeCell ref="B86:B88"/>
    <mergeCell ref="C86:C88"/>
    <mergeCell ref="B53:B55"/>
    <mergeCell ref="C53:C55"/>
    <mergeCell ref="B59:B61"/>
    <mergeCell ref="C59:C61"/>
    <mergeCell ref="B68:B70"/>
    <mergeCell ref="C68:C70"/>
    <mergeCell ref="B62:B64"/>
    <mergeCell ref="C62:C64"/>
    <mergeCell ref="C65:C67"/>
    <mergeCell ref="B65:B67"/>
    <mergeCell ref="C71:C73"/>
    <mergeCell ref="B71:B73"/>
    <mergeCell ref="C74:C76"/>
    <mergeCell ref="B74:B76"/>
    <mergeCell ref="C77:C79"/>
    <mergeCell ref="B77:B79"/>
    <mergeCell ref="C80:C82"/>
    <mergeCell ref="B80:B82"/>
    <mergeCell ref="B83:B85"/>
    <mergeCell ref="C83:C85"/>
    <mergeCell ref="B56:B58"/>
    <mergeCell ref="C56:C58"/>
    <mergeCell ref="C26:C28"/>
    <mergeCell ref="B26:B28"/>
    <mergeCell ref="B11:B13"/>
    <mergeCell ref="B23:B25"/>
    <mergeCell ref="C23:C25"/>
    <mergeCell ref="B17:B19"/>
    <mergeCell ref="C17:C19"/>
    <mergeCell ref="B20:B22"/>
    <mergeCell ref="C20:C22"/>
    <mergeCell ref="I23:I25"/>
    <mergeCell ref="I17:I19"/>
    <mergeCell ref="J17:J19"/>
    <mergeCell ref="I20:I22"/>
    <mergeCell ref="J20:J22"/>
    <mergeCell ref="J23:J25"/>
    <mergeCell ref="C11:C13"/>
    <mergeCell ref="B14:B16"/>
    <mergeCell ref="C14:C16"/>
    <mergeCell ref="I14:I16"/>
    <mergeCell ref="J14:J16"/>
    <mergeCell ref="B5:J5"/>
    <mergeCell ref="B6:J6"/>
    <mergeCell ref="B7:J7"/>
    <mergeCell ref="C9:C10"/>
    <mergeCell ref="D9:D10"/>
    <mergeCell ref="J9:J10"/>
    <mergeCell ref="H9:H10"/>
    <mergeCell ref="I9:I10"/>
    <mergeCell ref="B9:B10"/>
    <mergeCell ref="E9:G9"/>
    <mergeCell ref="B47:B49"/>
    <mergeCell ref="C47:C49"/>
    <mergeCell ref="B50:B52"/>
    <mergeCell ref="C50:C52"/>
    <mergeCell ref="B44:B46"/>
    <mergeCell ref="C44:C46"/>
    <mergeCell ref="B41:B43"/>
    <mergeCell ref="C41:C43"/>
    <mergeCell ref="B29:B31"/>
    <mergeCell ref="C29:C31"/>
    <mergeCell ref="B32:B34"/>
    <mergeCell ref="C32:C34"/>
    <mergeCell ref="B35:B37"/>
    <mergeCell ref="C35:C37"/>
    <mergeCell ref="B38:B40"/>
    <mergeCell ref="C38:C40"/>
    <mergeCell ref="C239:C241"/>
    <mergeCell ref="B239:B241"/>
    <mergeCell ref="B212:B214"/>
    <mergeCell ref="C212:C214"/>
    <mergeCell ref="B215:B217"/>
    <mergeCell ref="C215:C217"/>
    <mergeCell ref="B218:B220"/>
    <mergeCell ref="C218:C220"/>
    <mergeCell ref="B221:B223"/>
    <mergeCell ref="C221:C223"/>
    <mergeCell ref="C233:C235"/>
    <mergeCell ref="B233:B235"/>
    <mergeCell ref="C194:C196"/>
    <mergeCell ref="B194:B196"/>
    <mergeCell ref="C191:C193"/>
    <mergeCell ref="B191:B193"/>
    <mergeCell ref="C263:C265"/>
    <mergeCell ref="B263:B265"/>
    <mergeCell ref="C266:C268"/>
    <mergeCell ref="B266:B268"/>
    <mergeCell ref="B209:B211"/>
    <mergeCell ref="C209:C211"/>
    <mergeCell ref="C242:C244"/>
    <mergeCell ref="B242:B244"/>
    <mergeCell ref="C245:C247"/>
    <mergeCell ref="B245:B247"/>
    <mergeCell ref="C254:C256"/>
    <mergeCell ref="B254:B256"/>
    <mergeCell ref="B257:B259"/>
    <mergeCell ref="C257:C259"/>
    <mergeCell ref="B260:B262"/>
    <mergeCell ref="C260:C262"/>
    <mergeCell ref="C230:C232"/>
    <mergeCell ref="B230:B232"/>
    <mergeCell ref="C227:C229"/>
    <mergeCell ref="B227:B229"/>
    <mergeCell ref="C344:C346"/>
    <mergeCell ref="B344:B346"/>
    <mergeCell ref="C347:C349"/>
    <mergeCell ref="B347:B349"/>
    <mergeCell ref="C356:C358"/>
    <mergeCell ref="B356:B358"/>
    <mergeCell ref="B359:B361"/>
    <mergeCell ref="C359:C361"/>
    <mergeCell ref="C362:C364"/>
    <mergeCell ref="B362:B364"/>
    <mergeCell ref="C365:C367"/>
    <mergeCell ref="B365:B367"/>
    <mergeCell ref="C329:C331"/>
    <mergeCell ref="B329:B331"/>
    <mergeCell ref="B332:B334"/>
    <mergeCell ref="C332:C334"/>
    <mergeCell ref="C380:C382"/>
    <mergeCell ref="B380:B382"/>
    <mergeCell ref="C383:C385"/>
    <mergeCell ref="B383:B385"/>
    <mergeCell ref="C368:C370"/>
    <mergeCell ref="B368:B370"/>
    <mergeCell ref="C371:C373"/>
    <mergeCell ref="B371:B373"/>
    <mergeCell ref="C374:C376"/>
    <mergeCell ref="B374:B376"/>
    <mergeCell ref="B338:B340"/>
    <mergeCell ref="C338:C340"/>
    <mergeCell ref="B335:B337"/>
    <mergeCell ref="C335:C337"/>
    <mergeCell ref="C350:C352"/>
    <mergeCell ref="B350:B352"/>
    <mergeCell ref="C341:C343"/>
    <mergeCell ref="B341:B343"/>
    <mergeCell ref="I26:I28"/>
    <mergeCell ref="J26:J28"/>
    <mergeCell ref="I29:I31"/>
    <mergeCell ref="J29:J31"/>
    <mergeCell ref="I32:I34"/>
    <mergeCell ref="J32:J34"/>
    <mergeCell ref="J35:J37"/>
    <mergeCell ref="I35:I37"/>
    <mergeCell ref="I38:I40"/>
    <mergeCell ref="J38:J40"/>
    <mergeCell ref="J41:J43"/>
    <mergeCell ref="I41:I43"/>
    <mergeCell ref="I44:I46"/>
    <mergeCell ref="J44:J46"/>
    <mergeCell ref="I47:I49"/>
    <mergeCell ref="J47:J49"/>
    <mergeCell ref="C377:C379"/>
    <mergeCell ref="B377:B379"/>
    <mergeCell ref="C353:C355"/>
    <mergeCell ref="B353:B355"/>
    <mergeCell ref="J71:J73"/>
    <mergeCell ref="I71:I73"/>
    <mergeCell ref="I50:I52"/>
    <mergeCell ref="J50:J52"/>
    <mergeCell ref="J53:J55"/>
    <mergeCell ref="I53:I55"/>
    <mergeCell ref="I59:I61"/>
    <mergeCell ref="J59:J61"/>
    <mergeCell ref="J62:J64"/>
    <mergeCell ref="I62:I64"/>
    <mergeCell ref="J68:J70"/>
    <mergeCell ref="I68:I70"/>
    <mergeCell ref="I65:I67"/>
    <mergeCell ref="J65:J67"/>
    <mergeCell ref="I83:I85"/>
    <mergeCell ref="J83:J85"/>
    <mergeCell ref="I86:I88"/>
    <mergeCell ref="J86:J88"/>
    <mergeCell ref="I89:I91"/>
    <mergeCell ref="J89:J91"/>
    <mergeCell ref="I92:I94"/>
    <mergeCell ref="J92:J94"/>
    <mergeCell ref="J98:J100"/>
    <mergeCell ref="I98:I100"/>
    <mergeCell ref="I113:I115"/>
    <mergeCell ref="J113:J115"/>
    <mergeCell ref="I116:I117"/>
    <mergeCell ref="J116:J117"/>
    <mergeCell ref="I119:I121"/>
    <mergeCell ref="J119:J121"/>
    <mergeCell ref="I122:I124"/>
    <mergeCell ref="J122:J124"/>
    <mergeCell ref="J101:J103"/>
    <mergeCell ref="I101:I103"/>
    <mergeCell ref="I104:I106"/>
    <mergeCell ref="J104:J106"/>
    <mergeCell ref="J107:J109"/>
    <mergeCell ref="I107:I109"/>
    <mergeCell ref="I110:I112"/>
    <mergeCell ref="J110:J112"/>
    <mergeCell ref="I140:I142"/>
    <mergeCell ref="J140:J142"/>
    <mergeCell ref="J143:J144"/>
    <mergeCell ref="I143:I144"/>
    <mergeCell ref="I146:I148"/>
    <mergeCell ref="J146:J148"/>
    <mergeCell ref="I149:I151"/>
    <mergeCell ref="J149:J151"/>
    <mergeCell ref="I125:I127"/>
    <mergeCell ref="J125:J127"/>
    <mergeCell ref="J128:J129"/>
    <mergeCell ref="I128:I129"/>
    <mergeCell ref="I131:I133"/>
    <mergeCell ref="J131:J133"/>
    <mergeCell ref="I134:I136"/>
    <mergeCell ref="J134:J136"/>
    <mergeCell ref="J137:J139"/>
    <mergeCell ref="I137:I139"/>
    <mergeCell ref="I183:I184"/>
    <mergeCell ref="J183:J184"/>
    <mergeCell ref="I167:I169"/>
    <mergeCell ref="J167:J169"/>
    <mergeCell ref="J170:J172"/>
    <mergeCell ref="I170:I172"/>
    <mergeCell ref="I173:I175"/>
    <mergeCell ref="J173:J175"/>
    <mergeCell ref="I176:I178"/>
    <mergeCell ref="J176:J178"/>
    <mergeCell ref="I179:I181"/>
    <mergeCell ref="J179:J181"/>
    <mergeCell ref="I239:I241"/>
    <mergeCell ref="J239:J241"/>
    <mergeCell ref="I242:I244"/>
    <mergeCell ref="J242:J244"/>
    <mergeCell ref="I245:I247"/>
    <mergeCell ref="J245:J247"/>
    <mergeCell ref="I224:I226"/>
    <mergeCell ref="J224:J226"/>
    <mergeCell ref="I227:I229"/>
    <mergeCell ref="J227:J229"/>
    <mergeCell ref="I230:I232"/>
    <mergeCell ref="J230:J232"/>
    <mergeCell ref="I233:I235"/>
    <mergeCell ref="J233:J235"/>
    <mergeCell ref="I236:I238"/>
    <mergeCell ref="J236:J238"/>
    <mergeCell ref="I296:I298"/>
    <mergeCell ref="J296:J298"/>
    <mergeCell ref="J299:J301"/>
    <mergeCell ref="I299:I301"/>
    <mergeCell ref="I302:I304"/>
    <mergeCell ref="J302:J304"/>
    <mergeCell ref="J305:J306"/>
    <mergeCell ref="I305:I306"/>
    <mergeCell ref="I281:I283"/>
    <mergeCell ref="J281:J283"/>
    <mergeCell ref="I284:I286"/>
    <mergeCell ref="J284:J286"/>
    <mergeCell ref="I287:I289"/>
    <mergeCell ref="J287:J289"/>
    <mergeCell ref="I290:I292"/>
    <mergeCell ref="J290:J292"/>
    <mergeCell ref="I293:I295"/>
    <mergeCell ref="J293:J295"/>
    <mergeCell ref="I308:I310"/>
    <mergeCell ref="J308:J310"/>
    <mergeCell ref="I311:I313"/>
    <mergeCell ref="J311:J313"/>
    <mergeCell ref="I314:I316"/>
    <mergeCell ref="J314:J316"/>
    <mergeCell ref="I317:I319"/>
    <mergeCell ref="J317:J319"/>
    <mergeCell ref="I320:I322"/>
    <mergeCell ref="J320:J322"/>
    <mergeCell ref="I332:I334"/>
    <mergeCell ref="J332:J334"/>
    <mergeCell ref="I335:I336"/>
    <mergeCell ref="J335:J336"/>
    <mergeCell ref="I323:I325"/>
    <mergeCell ref="J323:J325"/>
    <mergeCell ref="I326:I328"/>
    <mergeCell ref="J326:J328"/>
    <mergeCell ref="I329:I331"/>
    <mergeCell ref="J329:J331"/>
    <mergeCell ref="I339:I340"/>
    <mergeCell ref="J339:J340"/>
    <mergeCell ref="I341:I343"/>
    <mergeCell ref="J341:J343"/>
    <mergeCell ref="I344:I346"/>
    <mergeCell ref="J344:J346"/>
    <mergeCell ref="J347:J349"/>
    <mergeCell ref="I347:I349"/>
    <mergeCell ref="I356:I358"/>
    <mergeCell ref="J356:J358"/>
    <mergeCell ref="I350:I351"/>
    <mergeCell ref="J350:J351"/>
    <mergeCell ref="J353:J355"/>
    <mergeCell ref="I353:I355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994"/>
  <sheetViews>
    <sheetView topLeftCell="A403" workbookViewId="0">
      <selection activeCell="J11" sqref="J11:J417"/>
    </sheetView>
  </sheetViews>
  <sheetFormatPr defaultColWidth="12.625" defaultRowHeight="15" customHeight="1" x14ac:dyDescent="0.25"/>
  <cols>
    <col min="1" max="1" width="7.625" style="1" customWidth="1"/>
    <col min="2" max="2" width="7.875" style="5" customWidth="1"/>
    <col min="3" max="3" width="23.875" style="5" customWidth="1"/>
    <col min="4" max="4" width="9.75" style="1" customWidth="1"/>
    <col min="5" max="5" width="3.5" style="3" customWidth="1"/>
    <col min="6" max="6" width="3.625" style="3" customWidth="1"/>
    <col min="7" max="8" width="3.375" style="3" customWidth="1"/>
    <col min="9" max="9" width="3.625" style="3" customWidth="1"/>
    <col min="10" max="10" width="9" style="3" customWidth="1"/>
    <col min="11" max="11" width="6.625" style="172" customWidth="1"/>
    <col min="12" max="12" width="36.625" style="5" customWidth="1"/>
    <col min="13" max="13" width="32.75" style="3" customWidth="1"/>
    <col min="14" max="27" width="7.625" style="1" customWidth="1"/>
    <col min="28" max="16384" width="12.625" style="1"/>
  </cols>
  <sheetData>
    <row r="2" spans="1:13" x14ac:dyDescent="0.25">
      <c r="B2" s="5" t="s">
        <v>29</v>
      </c>
      <c r="C2" s="5" t="s">
        <v>30</v>
      </c>
    </row>
    <row r="3" spans="1:13" ht="45" x14ac:dyDescent="0.25">
      <c r="B3" s="5" t="s">
        <v>2</v>
      </c>
      <c r="C3" s="5" t="s">
        <v>417</v>
      </c>
    </row>
    <row r="4" spans="1:13" x14ac:dyDescent="0.25">
      <c r="B4" s="173" t="s">
        <v>4</v>
      </c>
    </row>
    <row r="5" spans="1:13" ht="43.5" customHeight="1" x14ac:dyDescent="0.25">
      <c r="A5" s="174" t="s">
        <v>31</v>
      </c>
      <c r="B5" s="463" t="s">
        <v>435</v>
      </c>
      <c r="C5" s="530"/>
      <c r="D5" s="530"/>
      <c r="E5" s="530"/>
      <c r="F5" s="530"/>
      <c r="G5" s="530"/>
      <c r="H5" s="530"/>
      <c r="I5" s="530"/>
      <c r="J5" s="530"/>
      <c r="K5" s="530"/>
      <c r="L5" s="530"/>
    </row>
    <row r="6" spans="1:13" ht="36" customHeight="1" x14ac:dyDescent="0.25">
      <c r="A6" s="174" t="s">
        <v>32</v>
      </c>
      <c r="B6" s="463" t="s">
        <v>436</v>
      </c>
      <c r="C6" s="530"/>
      <c r="D6" s="530"/>
      <c r="E6" s="530"/>
      <c r="F6" s="530"/>
      <c r="G6" s="530"/>
      <c r="H6" s="530"/>
      <c r="I6" s="530"/>
      <c r="J6" s="530"/>
      <c r="K6" s="530"/>
      <c r="L6" s="530"/>
    </row>
    <row r="7" spans="1:13" ht="32.25" customHeight="1" x14ac:dyDescent="0.25">
      <c r="A7" s="174" t="s">
        <v>33</v>
      </c>
      <c r="B7" s="463" t="s">
        <v>437</v>
      </c>
      <c r="C7" s="530"/>
      <c r="D7" s="530"/>
      <c r="E7" s="530"/>
      <c r="F7" s="530"/>
      <c r="G7" s="530"/>
      <c r="H7" s="530"/>
      <c r="I7" s="530"/>
      <c r="J7" s="530"/>
      <c r="K7" s="530"/>
      <c r="L7" s="530"/>
    </row>
    <row r="8" spans="1:13" x14ac:dyDescent="0.25">
      <c r="A8" s="174" t="s">
        <v>34</v>
      </c>
      <c r="B8" s="463" t="s">
        <v>35</v>
      </c>
      <c r="C8" s="530"/>
      <c r="D8" s="530"/>
      <c r="E8" s="530"/>
      <c r="F8" s="530"/>
      <c r="G8" s="530"/>
      <c r="H8" s="530"/>
      <c r="I8" s="530"/>
      <c r="J8" s="530"/>
      <c r="K8" s="530"/>
      <c r="L8" s="530"/>
    </row>
    <row r="9" spans="1:13" x14ac:dyDescent="0.25">
      <c r="A9" s="174" t="s">
        <v>36</v>
      </c>
      <c r="B9" s="463" t="s">
        <v>37</v>
      </c>
      <c r="C9" s="530"/>
      <c r="D9" s="530"/>
      <c r="E9" s="530"/>
      <c r="F9" s="530"/>
      <c r="G9" s="530"/>
      <c r="H9" s="530"/>
      <c r="I9" s="530"/>
      <c r="J9" s="530"/>
      <c r="K9" s="530"/>
      <c r="L9" s="530"/>
    </row>
    <row r="11" spans="1:13" ht="29.25" customHeight="1" x14ac:dyDescent="0.25">
      <c r="B11" s="469" t="s">
        <v>5</v>
      </c>
      <c r="C11" s="469" t="s">
        <v>6</v>
      </c>
      <c r="D11" s="469" t="s">
        <v>7</v>
      </c>
      <c r="E11" s="533" t="s">
        <v>8</v>
      </c>
      <c r="F11" s="534"/>
      <c r="G11" s="534"/>
      <c r="H11" s="534"/>
      <c r="I11" s="535"/>
      <c r="J11" s="538" t="s">
        <v>418</v>
      </c>
      <c r="K11" s="536" t="s">
        <v>9</v>
      </c>
      <c r="L11" s="469" t="s">
        <v>38</v>
      </c>
      <c r="M11" s="471" t="s">
        <v>11</v>
      </c>
    </row>
    <row r="12" spans="1:13" x14ac:dyDescent="0.25">
      <c r="B12" s="470"/>
      <c r="C12" s="470"/>
      <c r="D12" s="532"/>
      <c r="E12" s="2" t="s">
        <v>12</v>
      </c>
      <c r="F12" s="2" t="s">
        <v>13</v>
      </c>
      <c r="G12" s="2" t="s">
        <v>14</v>
      </c>
      <c r="H12" s="2" t="s">
        <v>39</v>
      </c>
      <c r="I12" s="2" t="s">
        <v>40</v>
      </c>
      <c r="J12" s="470"/>
      <c r="K12" s="537"/>
      <c r="L12" s="470"/>
      <c r="M12" s="472"/>
    </row>
    <row r="13" spans="1:13" x14ac:dyDescent="0.25">
      <c r="B13" s="531" t="s">
        <v>15</v>
      </c>
      <c r="C13" s="531" t="s">
        <v>16</v>
      </c>
      <c r="D13" s="15">
        <v>2017</v>
      </c>
      <c r="E13" s="25" t="s">
        <v>17</v>
      </c>
      <c r="F13" s="25" t="s">
        <v>17</v>
      </c>
      <c r="G13" s="25"/>
      <c r="H13" s="25"/>
      <c r="I13" s="25"/>
      <c r="J13" s="25">
        <v>2</v>
      </c>
      <c r="K13" s="487">
        <f>(SUM(J13:J15)/3)/5</f>
        <v>0.4</v>
      </c>
      <c r="L13" s="451" t="s">
        <v>95</v>
      </c>
      <c r="M13" s="451" t="s">
        <v>280</v>
      </c>
    </row>
    <row r="14" spans="1:13" x14ac:dyDescent="0.25">
      <c r="B14" s="528"/>
      <c r="C14" s="528"/>
      <c r="D14" s="17">
        <v>2018</v>
      </c>
      <c r="E14" s="25" t="s">
        <v>17</v>
      </c>
      <c r="F14" s="25" t="s">
        <v>17</v>
      </c>
      <c r="G14" s="25"/>
      <c r="H14" s="25"/>
      <c r="I14" s="25"/>
      <c r="J14" s="25">
        <v>2</v>
      </c>
      <c r="K14" s="488"/>
      <c r="L14" s="452"/>
      <c r="M14" s="452"/>
    </row>
    <row r="15" spans="1:13" x14ac:dyDescent="0.25">
      <c r="B15" s="529"/>
      <c r="C15" s="529"/>
      <c r="D15" s="17">
        <v>2019</v>
      </c>
      <c r="E15" s="25" t="s">
        <v>17</v>
      </c>
      <c r="F15" s="25" t="s">
        <v>17</v>
      </c>
      <c r="G15" s="25"/>
      <c r="H15" s="25"/>
      <c r="I15" s="25"/>
      <c r="J15" s="25">
        <v>2</v>
      </c>
      <c r="K15" s="504"/>
      <c r="L15" s="453"/>
      <c r="M15" s="453"/>
    </row>
    <row r="16" spans="1:13" x14ac:dyDescent="0.25">
      <c r="B16" s="527" t="s">
        <v>24</v>
      </c>
      <c r="C16" s="527" t="s">
        <v>25</v>
      </c>
      <c r="D16" s="17">
        <v>2017</v>
      </c>
      <c r="E16" s="25"/>
      <c r="F16" s="25"/>
      <c r="G16" s="25" t="s">
        <v>17</v>
      </c>
      <c r="H16" s="25" t="s">
        <v>17</v>
      </c>
      <c r="I16" s="25"/>
      <c r="J16" s="25">
        <v>2</v>
      </c>
      <c r="K16" s="487">
        <f>(SUM(J16:J18)/3)/5</f>
        <v>0.4</v>
      </c>
      <c r="L16" s="451" t="s">
        <v>278</v>
      </c>
      <c r="M16" s="448" t="s">
        <v>97</v>
      </c>
    </row>
    <row r="17" spans="2:13" x14ac:dyDescent="0.25">
      <c r="B17" s="528"/>
      <c r="C17" s="528"/>
      <c r="D17" s="17">
        <v>2018</v>
      </c>
      <c r="E17" s="25"/>
      <c r="F17" s="25"/>
      <c r="G17" s="25" t="s">
        <v>17</v>
      </c>
      <c r="H17" s="25" t="s">
        <v>17</v>
      </c>
      <c r="I17" s="25"/>
      <c r="J17" s="25">
        <v>2</v>
      </c>
      <c r="K17" s="488"/>
      <c r="L17" s="452"/>
      <c r="M17" s="449"/>
    </row>
    <row r="18" spans="2:13" x14ac:dyDescent="0.25">
      <c r="B18" s="529"/>
      <c r="C18" s="529"/>
      <c r="D18" s="17">
        <v>2019</v>
      </c>
      <c r="E18" s="25"/>
      <c r="F18" s="25"/>
      <c r="G18" s="25" t="s">
        <v>17</v>
      </c>
      <c r="H18" s="25" t="s">
        <v>17</v>
      </c>
      <c r="I18" s="25"/>
      <c r="J18" s="25">
        <v>2</v>
      </c>
      <c r="K18" s="504"/>
      <c r="L18" s="453"/>
      <c r="M18" s="450"/>
    </row>
    <row r="19" spans="2:13" ht="15.75" customHeight="1" x14ac:dyDescent="0.25">
      <c r="B19" s="527" t="s">
        <v>131</v>
      </c>
      <c r="C19" s="527" t="s">
        <v>28</v>
      </c>
      <c r="D19" s="17">
        <v>2017</v>
      </c>
      <c r="E19" s="25" t="s">
        <v>17</v>
      </c>
      <c r="F19" s="25" t="s">
        <v>17</v>
      </c>
      <c r="G19" s="25"/>
      <c r="H19" s="25" t="s">
        <v>17</v>
      </c>
      <c r="I19" s="25"/>
      <c r="J19" s="25">
        <v>3</v>
      </c>
      <c r="K19" s="487">
        <f>(SUM(J19:J21)/3)/5</f>
        <v>0.6</v>
      </c>
      <c r="L19" s="451" t="s">
        <v>96</v>
      </c>
      <c r="M19" s="448" t="s">
        <v>98</v>
      </c>
    </row>
    <row r="20" spans="2:13" ht="15.75" customHeight="1" x14ac:dyDescent="0.25">
      <c r="B20" s="528"/>
      <c r="C20" s="528"/>
      <c r="D20" s="17">
        <v>2018</v>
      </c>
      <c r="E20" s="25" t="s">
        <v>17</v>
      </c>
      <c r="F20" s="25" t="s">
        <v>17</v>
      </c>
      <c r="G20" s="25"/>
      <c r="H20" s="25" t="s">
        <v>17</v>
      </c>
      <c r="I20" s="25"/>
      <c r="J20" s="25">
        <v>3</v>
      </c>
      <c r="K20" s="488"/>
      <c r="L20" s="452"/>
      <c r="M20" s="449"/>
    </row>
    <row r="21" spans="2:13" ht="15.75" customHeight="1" x14ac:dyDescent="0.25">
      <c r="B21" s="529"/>
      <c r="C21" s="529"/>
      <c r="D21" s="17">
        <v>2019</v>
      </c>
      <c r="E21" s="25" t="s">
        <v>17</v>
      </c>
      <c r="F21" s="25" t="s">
        <v>17</v>
      </c>
      <c r="G21" s="25"/>
      <c r="H21" s="25" t="s">
        <v>17</v>
      </c>
      <c r="I21" s="25"/>
      <c r="J21" s="25">
        <v>3</v>
      </c>
      <c r="K21" s="504"/>
      <c r="L21" s="453"/>
      <c r="M21" s="450"/>
    </row>
    <row r="22" spans="2:13" ht="15.75" customHeight="1" x14ac:dyDescent="0.25">
      <c r="B22" s="451" t="s">
        <v>57</v>
      </c>
      <c r="C22" s="451" t="s">
        <v>58</v>
      </c>
      <c r="D22" s="17">
        <v>2017</v>
      </c>
      <c r="E22" s="25" t="s">
        <v>17</v>
      </c>
      <c r="F22" s="25"/>
      <c r="G22" s="25"/>
      <c r="H22" s="25"/>
      <c r="I22" s="25"/>
      <c r="J22" s="25">
        <v>1</v>
      </c>
      <c r="K22" s="487">
        <f>(SUM(J22:J24)/3)/5</f>
        <v>0.2</v>
      </c>
      <c r="L22" s="451" t="s">
        <v>64</v>
      </c>
      <c r="M22" s="451" t="s">
        <v>280</v>
      </c>
    </row>
    <row r="23" spans="2:13" ht="15.75" customHeight="1" x14ac:dyDescent="0.25">
      <c r="B23" s="452"/>
      <c r="C23" s="452"/>
      <c r="D23" s="17">
        <v>2018</v>
      </c>
      <c r="E23" s="25" t="s">
        <v>17</v>
      </c>
      <c r="F23" s="25"/>
      <c r="G23" s="25"/>
      <c r="H23" s="25"/>
      <c r="I23" s="25"/>
      <c r="J23" s="25">
        <v>1</v>
      </c>
      <c r="K23" s="488"/>
      <c r="L23" s="452"/>
      <c r="M23" s="452"/>
    </row>
    <row r="24" spans="2:13" ht="15.75" customHeight="1" x14ac:dyDescent="0.25">
      <c r="B24" s="453"/>
      <c r="C24" s="453"/>
      <c r="D24" s="17">
        <v>2019</v>
      </c>
      <c r="E24" s="25" t="s">
        <v>17</v>
      </c>
      <c r="F24" s="25"/>
      <c r="G24" s="25"/>
      <c r="H24" s="25"/>
      <c r="I24" s="25"/>
      <c r="J24" s="25">
        <v>1</v>
      </c>
      <c r="K24" s="504"/>
      <c r="L24" s="453"/>
      <c r="M24" s="453"/>
    </row>
    <row r="25" spans="2:13" ht="15.75" customHeight="1" x14ac:dyDescent="0.25">
      <c r="B25" s="451" t="s">
        <v>74</v>
      </c>
      <c r="C25" s="451" t="s">
        <v>75</v>
      </c>
      <c r="D25" s="17">
        <v>2017</v>
      </c>
      <c r="E25" s="25" t="s">
        <v>17</v>
      </c>
      <c r="F25" s="25"/>
      <c r="G25" s="25"/>
      <c r="H25" s="25"/>
      <c r="I25" s="25"/>
      <c r="J25" s="25">
        <v>1</v>
      </c>
      <c r="K25" s="487">
        <f>(SUM(J25:J27)/3)/5</f>
        <v>0.2</v>
      </c>
      <c r="L25" s="451" t="s">
        <v>101</v>
      </c>
      <c r="M25" s="448" t="s">
        <v>280</v>
      </c>
    </row>
    <row r="26" spans="2:13" ht="15.75" customHeight="1" x14ac:dyDescent="0.25">
      <c r="B26" s="452"/>
      <c r="C26" s="452"/>
      <c r="D26" s="17">
        <v>2018</v>
      </c>
      <c r="E26" s="25" t="s">
        <v>17</v>
      </c>
      <c r="F26" s="25"/>
      <c r="G26" s="25"/>
      <c r="H26" s="25"/>
      <c r="I26" s="25"/>
      <c r="J26" s="25">
        <v>1</v>
      </c>
      <c r="K26" s="488"/>
      <c r="L26" s="452"/>
      <c r="M26" s="449"/>
    </row>
    <row r="27" spans="2:13" ht="15.75" customHeight="1" x14ac:dyDescent="0.25">
      <c r="B27" s="453"/>
      <c r="C27" s="453"/>
      <c r="D27" s="17">
        <v>2019</v>
      </c>
      <c r="E27" s="25" t="s">
        <v>17</v>
      </c>
      <c r="F27" s="25"/>
      <c r="G27" s="25"/>
      <c r="H27" s="25"/>
      <c r="I27" s="25"/>
      <c r="J27" s="25">
        <v>1</v>
      </c>
      <c r="K27" s="504"/>
      <c r="L27" s="453"/>
      <c r="M27" s="450"/>
    </row>
    <row r="28" spans="2:13" ht="15.75" customHeight="1" x14ac:dyDescent="0.25">
      <c r="B28" s="451" t="s">
        <v>106</v>
      </c>
      <c r="C28" s="451" t="s">
        <v>107</v>
      </c>
      <c r="D28" s="17">
        <v>2017</v>
      </c>
      <c r="E28" s="25" t="s">
        <v>17</v>
      </c>
      <c r="F28" s="25"/>
      <c r="G28" s="25"/>
      <c r="H28" s="25"/>
      <c r="I28" s="25"/>
      <c r="J28" s="25">
        <v>1</v>
      </c>
      <c r="K28" s="487">
        <f>(SUM(J28:J30)/3)/5</f>
        <v>0.2</v>
      </c>
      <c r="L28" s="26" t="s">
        <v>108</v>
      </c>
      <c r="M28" s="448" t="s">
        <v>280</v>
      </c>
    </row>
    <row r="29" spans="2:13" ht="15.75" customHeight="1" x14ac:dyDescent="0.25">
      <c r="B29" s="452"/>
      <c r="C29" s="452"/>
      <c r="D29" s="17">
        <v>2018</v>
      </c>
      <c r="E29" s="25" t="s">
        <v>17</v>
      </c>
      <c r="F29" s="25"/>
      <c r="G29" s="25"/>
      <c r="H29" s="25"/>
      <c r="I29" s="25"/>
      <c r="J29" s="25">
        <v>1</v>
      </c>
      <c r="K29" s="488"/>
      <c r="L29" s="26" t="s">
        <v>109</v>
      </c>
      <c r="M29" s="449"/>
    </row>
    <row r="30" spans="2:13" ht="15.75" customHeight="1" x14ac:dyDescent="0.25">
      <c r="B30" s="453"/>
      <c r="C30" s="453"/>
      <c r="D30" s="17">
        <v>2019</v>
      </c>
      <c r="E30" s="25" t="s">
        <v>17</v>
      </c>
      <c r="F30" s="25"/>
      <c r="G30" s="25"/>
      <c r="H30" s="25"/>
      <c r="I30" s="25"/>
      <c r="J30" s="25">
        <v>1</v>
      </c>
      <c r="K30" s="504"/>
      <c r="L30" s="26" t="s">
        <v>110</v>
      </c>
      <c r="M30" s="450"/>
    </row>
    <row r="31" spans="2:13" x14ac:dyDescent="0.25">
      <c r="B31" s="451" t="s">
        <v>112</v>
      </c>
      <c r="C31" s="451" t="s">
        <v>113</v>
      </c>
      <c r="D31" s="17">
        <v>2017</v>
      </c>
      <c r="E31" s="25" t="s">
        <v>17</v>
      </c>
      <c r="F31" s="25"/>
      <c r="G31" s="25"/>
      <c r="H31" s="25"/>
      <c r="I31" s="25"/>
      <c r="J31" s="25">
        <v>1</v>
      </c>
      <c r="K31" s="487">
        <f>(SUM(J31:J33)/3)/5</f>
        <v>0.2</v>
      </c>
      <c r="L31" s="451" t="s">
        <v>114</v>
      </c>
      <c r="M31" s="448" t="s">
        <v>280</v>
      </c>
    </row>
    <row r="32" spans="2:13" ht="15.75" customHeight="1" x14ac:dyDescent="0.25">
      <c r="B32" s="452"/>
      <c r="C32" s="452"/>
      <c r="D32" s="17">
        <v>2018</v>
      </c>
      <c r="E32" s="25" t="s">
        <v>17</v>
      </c>
      <c r="F32" s="25"/>
      <c r="G32" s="25"/>
      <c r="H32" s="25"/>
      <c r="I32" s="25"/>
      <c r="J32" s="25">
        <v>1</v>
      </c>
      <c r="K32" s="488"/>
      <c r="L32" s="452"/>
      <c r="M32" s="449"/>
    </row>
    <row r="33" spans="2:13" ht="15.75" customHeight="1" x14ac:dyDescent="0.25">
      <c r="B33" s="453"/>
      <c r="C33" s="453"/>
      <c r="D33" s="17">
        <v>2019</v>
      </c>
      <c r="E33" s="25" t="s">
        <v>17</v>
      </c>
      <c r="F33" s="25"/>
      <c r="G33" s="25"/>
      <c r="H33" s="25"/>
      <c r="I33" s="25"/>
      <c r="J33" s="25">
        <v>1</v>
      </c>
      <c r="K33" s="504"/>
      <c r="L33" s="453"/>
      <c r="M33" s="450"/>
    </row>
    <row r="34" spans="2:13" ht="15.75" customHeight="1" x14ac:dyDescent="0.25">
      <c r="B34" s="448" t="s">
        <v>115</v>
      </c>
      <c r="C34" s="451" t="s">
        <v>116</v>
      </c>
      <c r="D34" s="17">
        <v>2017</v>
      </c>
      <c r="E34" s="25" t="s">
        <v>17</v>
      </c>
      <c r="F34" s="25"/>
      <c r="G34" s="25"/>
      <c r="H34" s="25"/>
      <c r="I34" s="25"/>
      <c r="J34" s="25">
        <v>1</v>
      </c>
      <c r="K34" s="487">
        <f>(SUM(J34:J36)/3)/5</f>
        <v>0.2</v>
      </c>
      <c r="L34" s="451" t="s">
        <v>118</v>
      </c>
      <c r="M34" s="451" t="s">
        <v>281</v>
      </c>
    </row>
    <row r="35" spans="2:13" ht="15.75" customHeight="1" x14ac:dyDescent="0.25">
      <c r="B35" s="449"/>
      <c r="C35" s="452"/>
      <c r="D35" s="17">
        <v>2018</v>
      </c>
      <c r="E35" s="25" t="s">
        <v>17</v>
      </c>
      <c r="F35" s="25"/>
      <c r="G35" s="25"/>
      <c r="H35" s="25"/>
      <c r="I35" s="25"/>
      <c r="J35" s="25">
        <v>1</v>
      </c>
      <c r="K35" s="488"/>
      <c r="L35" s="452"/>
      <c r="M35" s="452"/>
    </row>
    <row r="36" spans="2:13" ht="15.75" customHeight="1" x14ac:dyDescent="0.25">
      <c r="B36" s="450"/>
      <c r="C36" s="453"/>
      <c r="D36" s="17">
        <v>2019</v>
      </c>
      <c r="E36" s="25" t="s">
        <v>17</v>
      </c>
      <c r="F36" s="25"/>
      <c r="G36" s="25"/>
      <c r="H36" s="25"/>
      <c r="I36" s="25"/>
      <c r="J36" s="25">
        <v>1</v>
      </c>
      <c r="K36" s="504"/>
      <c r="L36" s="453"/>
      <c r="M36" s="453"/>
    </row>
    <row r="37" spans="2:13" ht="15.75" customHeight="1" x14ac:dyDescent="0.25">
      <c r="B37" s="448" t="s">
        <v>119</v>
      </c>
      <c r="C37" s="451" t="s">
        <v>120</v>
      </c>
      <c r="D37" s="17">
        <v>2017</v>
      </c>
      <c r="E37" s="25" t="s">
        <v>17</v>
      </c>
      <c r="F37" s="25" t="s">
        <v>17</v>
      </c>
      <c r="G37" s="25"/>
      <c r="H37" s="25"/>
      <c r="I37" s="25"/>
      <c r="J37" s="25">
        <v>2</v>
      </c>
      <c r="K37" s="487">
        <f>(SUM(J37:J39)/3)/5</f>
        <v>0.26666666666666666</v>
      </c>
      <c r="L37" s="451" t="s">
        <v>123</v>
      </c>
      <c r="M37" s="448" t="s">
        <v>280</v>
      </c>
    </row>
    <row r="38" spans="2:13" ht="15.75" customHeight="1" x14ac:dyDescent="0.25">
      <c r="B38" s="449"/>
      <c r="C38" s="452"/>
      <c r="D38" s="17">
        <v>2018</v>
      </c>
      <c r="E38" s="25" t="s">
        <v>17</v>
      </c>
      <c r="F38" s="25"/>
      <c r="G38" s="25"/>
      <c r="H38" s="25"/>
      <c r="I38" s="25"/>
      <c r="J38" s="25">
        <v>1</v>
      </c>
      <c r="K38" s="488"/>
      <c r="L38" s="452"/>
      <c r="M38" s="449"/>
    </row>
    <row r="39" spans="2:13" ht="30" x14ac:dyDescent="0.25">
      <c r="B39" s="450"/>
      <c r="C39" s="453"/>
      <c r="D39" s="17">
        <v>2019</v>
      </c>
      <c r="E39" s="25" t="s">
        <v>17</v>
      </c>
      <c r="F39" s="25"/>
      <c r="G39" s="25"/>
      <c r="H39" s="25"/>
      <c r="I39" s="25"/>
      <c r="J39" s="25">
        <v>1</v>
      </c>
      <c r="K39" s="504"/>
      <c r="L39" s="168" t="s">
        <v>124</v>
      </c>
      <c r="M39" s="450"/>
    </row>
    <row r="40" spans="2:13" ht="15.75" customHeight="1" x14ac:dyDescent="0.25">
      <c r="B40" s="424" t="s">
        <v>136</v>
      </c>
      <c r="C40" s="421" t="s">
        <v>137</v>
      </c>
      <c r="D40" s="28">
        <v>2017</v>
      </c>
      <c r="E40" s="28" t="s">
        <v>17</v>
      </c>
      <c r="F40" s="28"/>
      <c r="G40" s="28"/>
      <c r="H40" s="28"/>
      <c r="I40" s="28"/>
      <c r="J40" s="28">
        <v>1</v>
      </c>
      <c r="K40" s="487">
        <f>(SUM(J40:J42)/3)/5</f>
        <v>0.2</v>
      </c>
      <c r="L40" s="421" t="s">
        <v>137</v>
      </c>
      <c r="M40" s="424" t="s">
        <v>280</v>
      </c>
    </row>
    <row r="41" spans="2:13" ht="15.75" customHeight="1" x14ac:dyDescent="0.25">
      <c r="B41" s="425"/>
      <c r="C41" s="422"/>
      <c r="D41" s="28">
        <v>2018</v>
      </c>
      <c r="E41" s="28" t="s">
        <v>17</v>
      </c>
      <c r="F41" s="28"/>
      <c r="G41" s="28"/>
      <c r="H41" s="28"/>
      <c r="I41" s="28"/>
      <c r="J41" s="28">
        <v>1</v>
      </c>
      <c r="K41" s="488"/>
      <c r="L41" s="422"/>
      <c r="M41" s="425"/>
    </row>
    <row r="42" spans="2:13" ht="15.75" customHeight="1" x14ac:dyDescent="0.25">
      <c r="B42" s="426"/>
      <c r="C42" s="423"/>
      <c r="D42" s="28">
        <v>2019</v>
      </c>
      <c r="E42" s="28" t="s">
        <v>17</v>
      </c>
      <c r="F42" s="28"/>
      <c r="G42" s="28"/>
      <c r="H42" s="28"/>
      <c r="I42" s="28"/>
      <c r="J42" s="28">
        <v>1</v>
      </c>
      <c r="K42" s="504"/>
      <c r="L42" s="423"/>
      <c r="M42" s="426"/>
    </row>
    <row r="43" spans="2:13" ht="15.75" customHeight="1" x14ac:dyDescent="0.25">
      <c r="B43" s="421" t="s">
        <v>142</v>
      </c>
      <c r="C43" s="421" t="s">
        <v>143</v>
      </c>
      <c r="D43" s="28">
        <v>2017</v>
      </c>
      <c r="E43" s="28" t="s">
        <v>17</v>
      </c>
      <c r="F43" s="28" t="s">
        <v>17</v>
      </c>
      <c r="G43" s="28"/>
      <c r="H43" s="28"/>
      <c r="I43" s="28"/>
      <c r="J43" s="28">
        <v>1</v>
      </c>
      <c r="K43" s="487">
        <f>(SUM(J43:J45)/3)/5</f>
        <v>0.2</v>
      </c>
      <c r="L43" s="421" t="s">
        <v>144</v>
      </c>
      <c r="M43" s="424" t="s">
        <v>280</v>
      </c>
    </row>
    <row r="44" spans="2:13" ht="15.75" customHeight="1" x14ac:dyDescent="0.25">
      <c r="B44" s="422"/>
      <c r="C44" s="422"/>
      <c r="D44" s="28">
        <v>2018</v>
      </c>
      <c r="E44" s="28" t="s">
        <v>17</v>
      </c>
      <c r="F44" s="28" t="s">
        <v>17</v>
      </c>
      <c r="G44" s="28"/>
      <c r="H44" s="28"/>
      <c r="I44" s="28"/>
      <c r="J44" s="28">
        <v>1</v>
      </c>
      <c r="K44" s="488"/>
      <c r="L44" s="422"/>
      <c r="M44" s="425"/>
    </row>
    <row r="45" spans="2:13" ht="15.75" customHeight="1" x14ac:dyDescent="0.25">
      <c r="B45" s="423"/>
      <c r="C45" s="423"/>
      <c r="D45" s="28">
        <v>2019</v>
      </c>
      <c r="E45" s="28" t="s">
        <v>17</v>
      </c>
      <c r="F45" s="28" t="s">
        <v>17</v>
      </c>
      <c r="G45" s="28"/>
      <c r="H45" s="28"/>
      <c r="I45" s="28"/>
      <c r="J45" s="28">
        <v>1</v>
      </c>
      <c r="K45" s="504"/>
      <c r="L45" s="423"/>
      <c r="M45" s="426"/>
    </row>
    <row r="46" spans="2:13" ht="15.75" customHeight="1" x14ac:dyDescent="0.25">
      <c r="B46" s="424" t="s">
        <v>149</v>
      </c>
      <c r="C46" s="421" t="s">
        <v>150</v>
      </c>
      <c r="D46" s="28">
        <v>2017</v>
      </c>
      <c r="E46" s="28" t="s">
        <v>17</v>
      </c>
      <c r="F46" s="28" t="s">
        <v>17</v>
      </c>
      <c r="G46" s="28"/>
      <c r="H46" s="28"/>
      <c r="I46" s="28"/>
      <c r="J46" s="28">
        <v>1</v>
      </c>
      <c r="K46" s="487">
        <f>(SUM(J46:J48)/3)/5</f>
        <v>0.2</v>
      </c>
      <c r="L46" s="542" t="s">
        <v>151</v>
      </c>
      <c r="M46" s="424" t="s">
        <v>280</v>
      </c>
    </row>
    <row r="47" spans="2:13" ht="15.75" customHeight="1" x14ac:dyDescent="0.25">
      <c r="B47" s="425"/>
      <c r="C47" s="422"/>
      <c r="D47" s="28">
        <v>2018</v>
      </c>
      <c r="E47" s="28" t="s">
        <v>17</v>
      </c>
      <c r="F47" s="28" t="s">
        <v>17</v>
      </c>
      <c r="G47" s="28"/>
      <c r="H47" s="28"/>
      <c r="I47" s="28"/>
      <c r="J47" s="28">
        <v>1</v>
      </c>
      <c r="K47" s="488"/>
      <c r="L47" s="543"/>
      <c r="M47" s="425"/>
    </row>
    <row r="48" spans="2:13" ht="15.75" customHeight="1" x14ac:dyDescent="0.25">
      <c r="B48" s="426"/>
      <c r="C48" s="423"/>
      <c r="D48" s="28">
        <v>2019</v>
      </c>
      <c r="E48" s="28" t="s">
        <v>17</v>
      </c>
      <c r="F48" s="28" t="s">
        <v>17</v>
      </c>
      <c r="G48" s="28"/>
      <c r="H48" s="28"/>
      <c r="I48" s="28"/>
      <c r="J48" s="28">
        <v>1</v>
      </c>
      <c r="K48" s="504"/>
      <c r="L48" s="544"/>
      <c r="M48" s="426"/>
    </row>
    <row r="49" spans="2:13" ht="15.75" customHeight="1" x14ac:dyDescent="0.25">
      <c r="B49" s="424" t="s">
        <v>154</v>
      </c>
      <c r="C49" s="421" t="s">
        <v>155</v>
      </c>
      <c r="D49" s="28">
        <v>2017</v>
      </c>
      <c r="E49" s="28" t="s">
        <v>17</v>
      </c>
      <c r="F49" s="28"/>
      <c r="G49" s="28"/>
      <c r="H49" s="28"/>
      <c r="I49" s="28"/>
      <c r="J49" s="28">
        <v>1</v>
      </c>
      <c r="K49" s="487">
        <f>(SUM(J49:J51)/3)/5</f>
        <v>0.2</v>
      </c>
      <c r="L49" s="29" t="s">
        <v>156</v>
      </c>
      <c r="M49" s="424" t="s">
        <v>280</v>
      </c>
    </row>
    <row r="50" spans="2:13" ht="15.75" customHeight="1" x14ac:dyDescent="0.25">
      <c r="B50" s="425"/>
      <c r="C50" s="422"/>
      <c r="D50" s="28">
        <v>2018</v>
      </c>
      <c r="E50" s="28" t="s">
        <v>17</v>
      </c>
      <c r="F50" s="28"/>
      <c r="G50" s="28"/>
      <c r="H50" s="28"/>
      <c r="I50" s="28"/>
      <c r="J50" s="28">
        <v>1</v>
      </c>
      <c r="K50" s="488"/>
      <c r="L50" s="421" t="s">
        <v>157</v>
      </c>
      <c r="M50" s="425"/>
    </row>
    <row r="51" spans="2:13" ht="15.75" customHeight="1" x14ac:dyDescent="0.25">
      <c r="B51" s="426"/>
      <c r="C51" s="423"/>
      <c r="D51" s="28">
        <v>2019</v>
      </c>
      <c r="E51" s="28" t="s">
        <v>17</v>
      </c>
      <c r="F51" s="28"/>
      <c r="G51" s="28"/>
      <c r="H51" s="28"/>
      <c r="I51" s="28"/>
      <c r="J51" s="28">
        <v>1</v>
      </c>
      <c r="K51" s="504"/>
      <c r="L51" s="422"/>
      <c r="M51" s="425"/>
    </row>
    <row r="52" spans="2:13" x14ac:dyDescent="0.25">
      <c r="B52" s="424" t="s">
        <v>158</v>
      </c>
      <c r="C52" s="421" t="s">
        <v>159</v>
      </c>
      <c r="D52" s="28">
        <v>2017</v>
      </c>
      <c r="E52" s="28" t="s">
        <v>17</v>
      </c>
      <c r="F52" s="28" t="s">
        <v>17</v>
      </c>
      <c r="G52" s="28"/>
      <c r="H52" s="28"/>
      <c r="I52" s="28"/>
      <c r="J52" s="28">
        <v>2</v>
      </c>
      <c r="K52" s="487">
        <f>(SUM(J52:J54)/3)/5</f>
        <v>0.4</v>
      </c>
      <c r="L52" s="166" t="s">
        <v>161</v>
      </c>
      <c r="M52" s="166" t="s">
        <v>280</v>
      </c>
    </row>
    <row r="53" spans="2:13" ht="15.75" customHeight="1" x14ac:dyDescent="0.25">
      <c r="B53" s="425"/>
      <c r="C53" s="422"/>
      <c r="D53" s="28">
        <v>2018</v>
      </c>
      <c r="E53" s="28" t="s">
        <v>17</v>
      </c>
      <c r="F53" s="28" t="s">
        <v>17</v>
      </c>
      <c r="G53" s="28"/>
      <c r="H53" s="28"/>
      <c r="I53" s="28"/>
      <c r="J53" s="28">
        <v>2</v>
      </c>
      <c r="K53" s="488"/>
      <c r="L53" s="459" t="s">
        <v>160</v>
      </c>
      <c r="M53" s="459" t="s">
        <v>166</v>
      </c>
    </row>
    <row r="54" spans="2:13" ht="24.75" customHeight="1" x14ac:dyDescent="0.25">
      <c r="B54" s="426"/>
      <c r="C54" s="423"/>
      <c r="D54" s="28">
        <v>2019</v>
      </c>
      <c r="E54" s="28" t="s">
        <v>17</v>
      </c>
      <c r="F54" s="28" t="s">
        <v>17</v>
      </c>
      <c r="G54" s="28"/>
      <c r="H54" s="28"/>
      <c r="I54" s="28"/>
      <c r="J54" s="28">
        <v>2</v>
      </c>
      <c r="K54" s="504"/>
      <c r="L54" s="459"/>
      <c r="M54" s="459"/>
    </row>
    <row r="55" spans="2:13" ht="15.75" customHeight="1" x14ac:dyDescent="0.25">
      <c r="B55" s="421" t="s">
        <v>167</v>
      </c>
      <c r="C55" s="421" t="s">
        <v>168</v>
      </c>
      <c r="D55" s="28">
        <v>2017</v>
      </c>
      <c r="E55" s="28" t="s">
        <v>17</v>
      </c>
      <c r="F55" s="28" t="s">
        <v>17</v>
      </c>
      <c r="G55" s="28"/>
      <c r="H55" s="28"/>
      <c r="I55" s="28"/>
      <c r="J55" s="28">
        <v>2</v>
      </c>
      <c r="K55" s="487">
        <f>(SUM(J55:J57)/3)/5</f>
        <v>0.4</v>
      </c>
      <c r="L55" s="167" t="s">
        <v>169</v>
      </c>
      <c r="M55" s="175" t="s">
        <v>280</v>
      </c>
    </row>
    <row r="56" spans="2:13" x14ac:dyDescent="0.25">
      <c r="B56" s="422"/>
      <c r="C56" s="422"/>
      <c r="D56" s="28">
        <v>2018</v>
      </c>
      <c r="E56" s="28"/>
      <c r="F56" s="28"/>
      <c r="G56" s="28" t="s">
        <v>17</v>
      </c>
      <c r="H56" s="28" t="s">
        <v>17</v>
      </c>
      <c r="I56" s="28"/>
      <c r="J56" s="28">
        <v>2</v>
      </c>
      <c r="K56" s="488"/>
      <c r="L56" s="167" t="s">
        <v>170</v>
      </c>
      <c r="M56" s="32" t="s">
        <v>171</v>
      </c>
    </row>
    <row r="57" spans="2:13" ht="30" x14ac:dyDescent="0.25">
      <c r="B57" s="423"/>
      <c r="C57" s="423"/>
      <c r="D57" s="28">
        <v>2019</v>
      </c>
      <c r="E57" s="28"/>
      <c r="F57" s="28"/>
      <c r="G57" s="28" t="s">
        <v>17</v>
      </c>
      <c r="H57" s="28" t="s">
        <v>17</v>
      </c>
      <c r="I57" s="28"/>
      <c r="J57" s="28">
        <v>2</v>
      </c>
      <c r="K57" s="504"/>
      <c r="L57" s="31" t="s">
        <v>172</v>
      </c>
      <c r="M57" s="28" t="s">
        <v>173</v>
      </c>
    </row>
    <row r="58" spans="2:13" ht="15.75" customHeight="1" x14ac:dyDescent="0.25">
      <c r="B58" s="424" t="s">
        <v>176</v>
      </c>
      <c r="C58" s="421" t="s">
        <v>177</v>
      </c>
      <c r="D58" s="28">
        <v>2017</v>
      </c>
      <c r="E58" s="28" t="s">
        <v>17</v>
      </c>
      <c r="F58" s="28" t="s">
        <v>17</v>
      </c>
      <c r="G58" s="28"/>
      <c r="H58" s="28"/>
      <c r="I58" s="28"/>
      <c r="J58" s="28">
        <v>2</v>
      </c>
      <c r="K58" s="487">
        <f>(SUM(J58:J60)/3)/5</f>
        <v>0.4</v>
      </c>
      <c r="L58" s="421" t="s">
        <v>178</v>
      </c>
      <c r="M58" s="424" t="s">
        <v>280</v>
      </c>
    </row>
    <row r="59" spans="2:13" ht="15.75" customHeight="1" x14ac:dyDescent="0.25">
      <c r="B59" s="425"/>
      <c r="C59" s="422"/>
      <c r="D59" s="28">
        <v>2018</v>
      </c>
      <c r="E59" s="28" t="s">
        <v>17</v>
      </c>
      <c r="F59" s="28" t="s">
        <v>17</v>
      </c>
      <c r="G59" s="28"/>
      <c r="H59" s="28"/>
      <c r="I59" s="28"/>
      <c r="J59" s="28">
        <v>2</v>
      </c>
      <c r="K59" s="488"/>
      <c r="L59" s="422"/>
      <c r="M59" s="425"/>
    </row>
    <row r="60" spans="2:13" ht="15.75" customHeight="1" x14ac:dyDescent="0.25">
      <c r="B60" s="426"/>
      <c r="C60" s="423"/>
      <c r="D60" s="28">
        <v>2019</v>
      </c>
      <c r="E60" s="28" t="s">
        <v>17</v>
      </c>
      <c r="F60" s="28" t="s">
        <v>17</v>
      </c>
      <c r="G60" s="28"/>
      <c r="H60" s="28"/>
      <c r="I60" s="28"/>
      <c r="J60" s="28">
        <v>2</v>
      </c>
      <c r="K60" s="504"/>
      <c r="L60" s="423"/>
      <c r="M60" s="425"/>
    </row>
    <row r="61" spans="2:13" ht="15.75" customHeight="1" x14ac:dyDescent="0.25">
      <c r="B61" s="424" t="s">
        <v>181</v>
      </c>
      <c r="C61" s="421" t="s">
        <v>182</v>
      </c>
      <c r="D61" s="28">
        <v>2017</v>
      </c>
      <c r="E61" s="28" t="s">
        <v>17</v>
      </c>
      <c r="F61" s="28"/>
      <c r="G61" s="28"/>
      <c r="H61" s="28"/>
      <c r="I61" s="28"/>
      <c r="J61" s="28">
        <v>1</v>
      </c>
      <c r="K61" s="487">
        <f>(SUM(J61:J63)/3)/5</f>
        <v>0.2</v>
      </c>
      <c r="L61" s="539" t="s">
        <v>183</v>
      </c>
      <c r="M61" s="424" t="s">
        <v>280</v>
      </c>
    </row>
    <row r="62" spans="2:13" ht="15.75" customHeight="1" x14ac:dyDescent="0.25">
      <c r="B62" s="425"/>
      <c r="C62" s="422"/>
      <c r="D62" s="28">
        <v>2018</v>
      </c>
      <c r="E62" s="28" t="s">
        <v>17</v>
      </c>
      <c r="F62" s="28"/>
      <c r="G62" s="28"/>
      <c r="H62" s="28"/>
      <c r="I62" s="28"/>
      <c r="J62" s="28">
        <v>1</v>
      </c>
      <c r="K62" s="488"/>
      <c r="L62" s="540"/>
      <c r="M62" s="425"/>
    </row>
    <row r="63" spans="2:13" ht="15.75" customHeight="1" x14ac:dyDescent="0.25">
      <c r="B63" s="425"/>
      <c r="C63" s="422"/>
      <c r="D63" s="28">
        <v>2019</v>
      </c>
      <c r="E63" s="28" t="s">
        <v>17</v>
      </c>
      <c r="F63" s="28"/>
      <c r="G63" s="28"/>
      <c r="H63" s="28"/>
      <c r="I63" s="28"/>
      <c r="J63" s="28">
        <v>1</v>
      </c>
      <c r="K63" s="504"/>
      <c r="L63" s="541"/>
      <c r="M63" s="425"/>
    </row>
    <row r="64" spans="2:13" ht="15.75" customHeight="1" x14ac:dyDescent="0.25">
      <c r="B64" s="458" t="s">
        <v>184</v>
      </c>
      <c r="C64" s="459" t="s">
        <v>185</v>
      </c>
      <c r="D64" s="32">
        <v>2017</v>
      </c>
      <c r="E64" s="28" t="s">
        <v>17</v>
      </c>
      <c r="F64" s="28"/>
      <c r="G64" s="28"/>
      <c r="H64" s="28"/>
      <c r="I64" s="28"/>
      <c r="J64" s="28">
        <v>1</v>
      </c>
      <c r="K64" s="487">
        <f>(SUM(J64:J66)/3)/5</f>
        <v>0.2</v>
      </c>
      <c r="L64" s="436" t="s">
        <v>186</v>
      </c>
      <c r="M64" s="458" t="s">
        <v>280</v>
      </c>
    </row>
    <row r="65" spans="2:13" ht="15.75" customHeight="1" x14ac:dyDescent="0.25">
      <c r="B65" s="458"/>
      <c r="C65" s="459"/>
      <c r="D65" s="33">
        <v>2018</v>
      </c>
      <c r="E65" s="28" t="s">
        <v>17</v>
      </c>
      <c r="F65" s="28"/>
      <c r="G65" s="28"/>
      <c r="H65" s="28"/>
      <c r="I65" s="30"/>
      <c r="J65" s="28">
        <v>1</v>
      </c>
      <c r="K65" s="488"/>
      <c r="L65" s="546"/>
      <c r="M65" s="458"/>
    </row>
    <row r="66" spans="2:13" ht="15.75" customHeight="1" x14ac:dyDescent="0.25">
      <c r="B66" s="458"/>
      <c r="C66" s="459"/>
      <c r="D66" s="34">
        <v>2019</v>
      </c>
      <c r="E66" s="28" t="s">
        <v>17</v>
      </c>
      <c r="F66" s="28"/>
      <c r="G66" s="28"/>
      <c r="H66" s="28"/>
      <c r="I66" s="30"/>
      <c r="J66" s="28">
        <v>1</v>
      </c>
      <c r="K66" s="504"/>
      <c r="L66" s="547"/>
      <c r="M66" s="458"/>
    </row>
    <row r="67" spans="2:13" ht="15.75" customHeight="1" x14ac:dyDescent="0.25">
      <c r="B67" s="424" t="s">
        <v>188</v>
      </c>
      <c r="C67" s="421" t="s">
        <v>189</v>
      </c>
      <c r="D67" s="28">
        <v>2017</v>
      </c>
      <c r="E67" s="28" t="s">
        <v>17</v>
      </c>
      <c r="F67" s="28"/>
      <c r="G67" s="28"/>
      <c r="H67" s="28"/>
      <c r="I67" s="30"/>
      <c r="J67" s="28">
        <v>1</v>
      </c>
      <c r="K67" s="487">
        <f>(SUM(J67:J69)/3)/5</f>
        <v>0.2</v>
      </c>
      <c r="L67" s="548" t="s">
        <v>187</v>
      </c>
      <c r="M67" s="458" t="s">
        <v>280</v>
      </c>
    </row>
    <row r="68" spans="2:13" ht="15.75" customHeight="1" x14ac:dyDescent="0.25">
      <c r="B68" s="425"/>
      <c r="C68" s="422"/>
      <c r="D68" s="28">
        <v>2018</v>
      </c>
      <c r="E68" s="28" t="s">
        <v>17</v>
      </c>
      <c r="F68" s="28"/>
      <c r="G68" s="28"/>
      <c r="H68" s="28"/>
      <c r="I68" s="28"/>
      <c r="J68" s="28">
        <v>1</v>
      </c>
      <c r="K68" s="488"/>
      <c r="L68" s="549"/>
      <c r="M68" s="458"/>
    </row>
    <row r="69" spans="2:13" ht="15.75" customHeight="1" x14ac:dyDescent="0.25">
      <c r="B69" s="426"/>
      <c r="C69" s="423"/>
      <c r="D69" s="28">
        <v>2019</v>
      </c>
      <c r="E69" s="28" t="s">
        <v>17</v>
      </c>
      <c r="F69" s="28"/>
      <c r="G69" s="28"/>
      <c r="H69" s="28"/>
      <c r="I69" s="28"/>
      <c r="J69" s="28">
        <v>1</v>
      </c>
      <c r="K69" s="504"/>
      <c r="L69" s="550"/>
      <c r="M69" s="458"/>
    </row>
    <row r="70" spans="2:13" ht="15.75" customHeight="1" x14ac:dyDescent="0.25">
      <c r="B70" s="424" t="s">
        <v>190</v>
      </c>
      <c r="C70" s="421" t="s">
        <v>191</v>
      </c>
      <c r="D70" s="28">
        <v>2017</v>
      </c>
      <c r="E70" s="28"/>
      <c r="F70" s="28"/>
      <c r="G70" s="28" t="s">
        <v>17</v>
      </c>
      <c r="H70" s="28"/>
      <c r="I70" s="28"/>
      <c r="J70" s="28">
        <v>1</v>
      </c>
      <c r="K70" s="487">
        <f>(SUM(J70:J72)/3)/5</f>
        <v>0.2</v>
      </c>
      <c r="L70" s="421" t="s">
        <v>192</v>
      </c>
      <c r="M70" s="545" t="s">
        <v>282</v>
      </c>
    </row>
    <row r="71" spans="2:13" ht="15.75" customHeight="1" x14ac:dyDescent="0.25">
      <c r="B71" s="425"/>
      <c r="C71" s="422"/>
      <c r="D71" s="28">
        <v>2018</v>
      </c>
      <c r="E71" s="28"/>
      <c r="F71" s="28"/>
      <c r="G71" s="28" t="s">
        <v>17</v>
      </c>
      <c r="H71" s="28"/>
      <c r="I71" s="28"/>
      <c r="J71" s="28">
        <v>1</v>
      </c>
      <c r="K71" s="488"/>
      <c r="L71" s="422"/>
      <c r="M71" s="422"/>
    </row>
    <row r="72" spans="2:13" ht="15.75" customHeight="1" x14ac:dyDescent="0.25">
      <c r="B72" s="426"/>
      <c r="C72" s="423"/>
      <c r="D72" s="28">
        <v>2019</v>
      </c>
      <c r="E72" s="28"/>
      <c r="F72" s="28"/>
      <c r="G72" s="28" t="s">
        <v>17</v>
      </c>
      <c r="H72" s="28"/>
      <c r="I72" s="28"/>
      <c r="J72" s="28">
        <v>1</v>
      </c>
      <c r="K72" s="504"/>
      <c r="L72" s="423"/>
      <c r="M72" s="423"/>
    </row>
    <row r="73" spans="2:13" ht="15.75" customHeight="1" x14ac:dyDescent="0.25">
      <c r="B73" s="424" t="s">
        <v>193</v>
      </c>
      <c r="C73" s="421" t="s">
        <v>194</v>
      </c>
      <c r="D73" s="28">
        <v>2017</v>
      </c>
      <c r="E73" s="28"/>
      <c r="F73" s="28"/>
      <c r="G73" s="28" t="s">
        <v>17</v>
      </c>
      <c r="H73" s="28" t="s">
        <v>17</v>
      </c>
      <c r="I73" s="28" t="s">
        <v>17</v>
      </c>
      <c r="J73" s="28">
        <v>3</v>
      </c>
      <c r="K73" s="487">
        <f>(SUM(J73:J75)/3)/5</f>
        <v>0.6</v>
      </c>
      <c r="L73" s="421" t="s">
        <v>195</v>
      </c>
      <c r="M73" s="421" t="s">
        <v>283</v>
      </c>
    </row>
    <row r="74" spans="2:13" ht="15.75" customHeight="1" x14ac:dyDescent="0.25">
      <c r="B74" s="425"/>
      <c r="C74" s="422"/>
      <c r="D74" s="28">
        <v>2018</v>
      </c>
      <c r="E74" s="28"/>
      <c r="F74" s="28"/>
      <c r="G74" s="28" t="s">
        <v>17</v>
      </c>
      <c r="H74" s="28" t="s">
        <v>17</v>
      </c>
      <c r="I74" s="28" t="s">
        <v>17</v>
      </c>
      <c r="J74" s="28">
        <v>3</v>
      </c>
      <c r="K74" s="488"/>
      <c r="L74" s="422"/>
      <c r="M74" s="422"/>
    </row>
    <row r="75" spans="2:13" ht="15.75" customHeight="1" x14ac:dyDescent="0.25">
      <c r="B75" s="426"/>
      <c r="C75" s="423"/>
      <c r="D75" s="28">
        <v>2019</v>
      </c>
      <c r="E75" s="28"/>
      <c r="F75" s="28"/>
      <c r="G75" s="28" t="s">
        <v>17</v>
      </c>
      <c r="H75" s="28" t="s">
        <v>17</v>
      </c>
      <c r="I75" s="28" t="s">
        <v>17</v>
      </c>
      <c r="J75" s="28">
        <v>3</v>
      </c>
      <c r="K75" s="504"/>
      <c r="L75" s="423"/>
      <c r="M75" s="423"/>
    </row>
    <row r="76" spans="2:13" ht="15.75" customHeight="1" x14ac:dyDescent="0.25">
      <c r="B76" s="424" t="s">
        <v>196</v>
      </c>
      <c r="C76" s="421" t="s">
        <v>197</v>
      </c>
      <c r="D76" s="28">
        <v>2017</v>
      </c>
      <c r="E76" s="28"/>
      <c r="F76" s="28"/>
      <c r="G76" s="28" t="s">
        <v>17</v>
      </c>
      <c r="H76" s="28"/>
      <c r="I76" s="28"/>
      <c r="J76" s="28">
        <v>1</v>
      </c>
      <c r="K76" s="487">
        <f>(SUM(J76:J78)/3)/5</f>
        <v>0.2</v>
      </c>
      <c r="L76" s="421" t="s">
        <v>198</v>
      </c>
      <c r="M76" s="424" t="s">
        <v>171</v>
      </c>
    </row>
    <row r="77" spans="2:13" ht="15.75" customHeight="1" x14ac:dyDescent="0.25">
      <c r="B77" s="425"/>
      <c r="C77" s="422"/>
      <c r="D77" s="28">
        <v>2018</v>
      </c>
      <c r="E77" s="28"/>
      <c r="F77" s="28"/>
      <c r="G77" s="28" t="s">
        <v>17</v>
      </c>
      <c r="H77" s="28"/>
      <c r="I77" s="28"/>
      <c r="J77" s="28">
        <v>1</v>
      </c>
      <c r="K77" s="488"/>
      <c r="L77" s="422"/>
      <c r="M77" s="425"/>
    </row>
    <row r="78" spans="2:13" ht="15.75" customHeight="1" x14ac:dyDescent="0.25">
      <c r="B78" s="426"/>
      <c r="C78" s="423"/>
      <c r="D78" s="28">
        <v>2019</v>
      </c>
      <c r="E78" s="28"/>
      <c r="F78" s="28"/>
      <c r="G78" s="28" t="s">
        <v>17</v>
      </c>
      <c r="H78" s="28"/>
      <c r="I78" s="28"/>
      <c r="J78" s="28">
        <v>1</v>
      </c>
      <c r="K78" s="504"/>
      <c r="L78" s="423"/>
      <c r="M78" s="426"/>
    </row>
    <row r="79" spans="2:13" ht="15.75" customHeight="1" x14ac:dyDescent="0.25">
      <c r="B79" s="424" t="s">
        <v>199</v>
      </c>
      <c r="C79" s="421" t="s">
        <v>200</v>
      </c>
      <c r="D79" s="28">
        <v>2017</v>
      </c>
      <c r="E79" s="28"/>
      <c r="F79" s="28"/>
      <c r="G79" s="28"/>
      <c r="H79" s="28" t="s">
        <v>17</v>
      </c>
      <c r="I79" s="28"/>
      <c r="J79" s="28">
        <v>1</v>
      </c>
      <c r="K79" s="487">
        <f>(SUM(J79:J81)/3)/5</f>
        <v>0.2</v>
      </c>
      <c r="L79" s="421" t="s">
        <v>201</v>
      </c>
      <c r="M79" s="421" t="s">
        <v>202</v>
      </c>
    </row>
    <row r="80" spans="2:13" ht="15.75" customHeight="1" x14ac:dyDescent="0.25">
      <c r="B80" s="425"/>
      <c r="C80" s="422"/>
      <c r="D80" s="28">
        <v>2018</v>
      </c>
      <c r="E80" s="28"/>
      <c r="F80" s="28"/>
      <c r="G80" s="28"/>
      <c r="H80" s="28" t="s">
        <v>17</v>
      </c>
      <c r="I80" s="28"/>
      <c r="J80" s="28">
        <v>1</v>
      </c>
      <c r="K80" s="488"/>
      <c r="L80" s="422"/>
      <c r="M80" s="422"/>
    </row>
    <row r="81" spans="2:13" ht="15.75" customHeight="1" x14ac:dyDescent="0.25">
      <c r="B81" s="426"/>
      <c r="C81" s="423"/>
      <c r="D81" s="28">
        <v>2019</v>
      </c>
      <c r="E81" s="28"/>
      <c r="F81" s="28"/>
      <c r="G81" s="28"/>
      <c r="H81" s="28" t="s">
        <v>17</v>
      </c>
      <c r="I81" s="28"/>
      <c r="J81" s="28">
        <v>1</v>
      </c>
      <c r="K81" s="504"/>
      <c r="L81" s="423"/>
      <c r="M81" s="423"/>
    </row>
    <row r="82" spans="2:13" ht="15.75" customHeight="1" x14ac:dyDescent="0.25">
      <c r="B82" s="424" t="s">
        <v>205</v>
      </c>
      <c r="C82" s="421" t="s">
        <v>206</v>
      </c>
      <c r="D82" s="28">
        <v>2017</v>
      </c>
      <c r="E82" s="28"/>
      <c r="F82" s="28"/>
      <c r="G82" s="28" t="s">
        <v>17</v>
      </c>
      <c r="H82" s="28" t="s">
        <v>17</v>
      </c>
      <c r="I82" s="28"/>
      <c r="J82" s="28">
        <v>2</v>
      </c>
      <c r="K82" s="487">
        <f>(SUM(J82:J84)/3)/5</f>
        <v>0.4</v>
      </c>
      <c r="L82" s="421" t="s">
        <v>207</v>
      </c>
      <c r="M82" s="421" t="s">
        <v>284</v>
      </c>
    </row>
    <row r="83" spans="2:13" ht="15.75" customHeight="1" x14ac:dyDescent="0.25">
      <c r="B83" s="425"/>
      <c r="C83" s="422"/>
      <c r="D83" s="28">
        <v>2018</v>
      </c>
      <c r="E83" s="28"/>
      <c r="F83" s="28"/>
      <c r="G83" s="28" t="s">
        <v>17</v>
      </c>
      <c r="H83" s="28" t="s">
        <v>17</v>
      </c>
      <c r="I83" s="28"/>
      <c r="J83" s="28">
        <v>2</v>
      </c>
      <c r="K83" s="488"/>
      <c r="L83" s="422"/>
      <c r="M83" s="422"/>
    </row>
    <row r="84" spans="2:13" ht="15.75" customHeight="1" x14ac:dyDescent="0.25">
      <c r="B84" s="426"/>
      <c r="C84" s="423"/>
      <c r="D84" s="28">
        <v>2019</v>
      </c>
      <c r="E84" s="28"/>
      <c r="F84" s="28"/>
      <c r="G84" s="28" t="s">
        <v>17</v>
      </c>
      <c r="H84" s="28" t="s">
        <v>17</v>
      </c>
      <c r="I84" s="28"/>
      <c r="J84" s="28">
        <v>2</v>
      </c>
      <c r="K84" s="504"/>
      <c r="L84" s="423"/>
      <c r="M84" s="423"/>
    </row>
    <row r="85" spans="2:13" ht="15.75" customHeight="1" x14ac:dyDescent="0.25">
      <c r="B85" s="424" t="s">
        <v>208</v>
      </c>
      <c r="C85" s="421" t="s">
        <v>209</v>
      </c>
      <c r="D85" s="28">
        <v>2017</v>
      </c>
      <c r="E85" s="28"/>
      <c r="F85" s="28"/>
      <c r="G85" s="28"/>
      <c r="H85" s="28"/>
      <c r="I85" s="28"/>
      <c r="J85" s="28">
        <v>0</v>
      </c>
      <c r="K85" s="487">
        <f>(SUM(J85:J87)/3)/5</f>
        <v>0</v>
      </c>
      <c r="L85" s="421" t="s">
        <v>26</v>
      </c>
      <c r="M85" s="421" t="s">
        <v>26</v>
      </c>
    </row>
    <row r="86" spans="2:13" ht="15.75" customHeight="1" x14ac:dyDescent="0.25">
      <c r="B86" s="425"/>
      <c r="C86" s="422"/>
      <c r="D86" s="28">
        <v>2018</v>
      </c>
      <c r="E86" s="28"/>
      <c r="F86" s="28"/>
      <c r="G86" s="28"/>
      <c r="H86" s="28"/>
      <c r="I86" s="28"/>
      <c r="J86" s="28">
        <v>0</v>
      </c>
      <c r="K86" s="488"/>
      <c r="L86" s="422"/>
      <c r="M86" s="422"/>
    </row>
    <row r="87" spans="2:13" ht="15.75" customHeight="1" x14ac:dyDescent="0.25">
      <c r="B87" s="426"/>
      <c r="C87" s="423"/>
      <c r="D87" s="28">
        <v>2019</v>
      </c>
      <c r="E87" s="28"/>
      <c r="F87" s="28"/>
      <c r="G87" s="28"/>
      <c r="H87" s="28"/>
      <c r="I87" s="28"/>
      <c r="J87" s="28">
        <v>0</v>
      </c>
      <c r="K87" s="504"/>
      <c r="L87" s="423"/>
      <c r="M87" s="423"/>
    </row>
    <row r="88" spans="2:13" ht="15.75" customHeight="1" x14ac:dyDescent="0.25">
      <c r="B88" s="424" t="s">
        <v>210</v>
      </c>
      <c r="C88" s="421" t="s">
        <v>211</v>
      </c>
      <c r="D88" s="28">
        <v>2017</v>
      </c>
      <c r="E88" s="28"/>
      <c r="F88" s="28"/>
      <c r="G88" s="28"/>
      <c r="H88" s="28"/>
      <c r="I88" s="28"/>
      <c r="J88" s="28">
        <v>0</v>
      </c>
      <c r="K88" s="487">
        <f>(SUM(J88:J90)/3)/5</f>
        <v>0</v>
      </c>
      <c r="L88" s="421" t="s">
        <v>26</v>
      </c>
      <c r="M88" s="424" t="s">
        <v>26</v>
      </c>
    </row>
    <row r="89" spans="2:13" ht="15.75" customHeight="1" x14ac:dyDescent="0.25">
      <c r="B89" s="425"/>
      <c r="C89" s="422"/>
      <c r="D89" s="28">
        <v>2018</v>
      </c>
      <c r="E89" s="28"/>
      <c r="F89" s="28"/>
      <c r="G89" s="28"/>
      <c r="H89" s="28"/>
      <c r="I89" s="28"/>
      <c r="J89" s="28">
        <v>0</v>
      </c>
      <c r="K89" s="488"/>
      <c r="L89" s="422"/>
      <c r="M89" s="425"/>
    </row>
    <row r="90" spans="2:13" ht="15.75" customHeight="1" x14ac:dyDescent="0.25">
      <c r="B90" s="426"/>
      <c r="C90" s="423"/>
      <c r="D90" s="28">
        <v>2019</v>
      </c>
      <c r="E90" s="28"/>
      <c r="F90" s="28"/>
      <c r="G90" s="28"/>
      <c r="H90" s="28"/>
      <c r="I90" s="28"/>
      <c r="J90" s="28">
        <v>0</v>
      </c>
      <c r="K90" s="504"/>
      <c r="L90" s="423"/>
      <c r="M90" s="426"/>
    </row>
    <row r="91" spans="2:13" ht="15.75" customHeight="1" x14ac:dyDescent="0.25">
      <c r="B91" s="424" t="s">
        <v>212</v>
      </c>
      <c r="C91" s="421" t="s">
        <v>213</v>
      </c>
      <c r="D91" s="28">
        <v>2017</v>
      </c>
      <c r="E91" s="28"/>
      <c r="F91" s="28"/>
      <c r="G91" s="28" t="s">
        <v>17</v>
      </c>
      <c r="H91" s="28"/>
      <c r="I91" s="28"/>
      <c r="J91" s="28">
        <v>1</v>
      </c>
      <c r="K91" s="487">
        <f>(SUM(J91:J93)/3)/5</f>
        <v>0.2</v>
      </c>
      <c r="L91" s="421" t="s">
        <v>214</v>
      </c>
      <c r="M91" s="458" t="s">
        <v>280</v>
      </c>
    </row>
    <row r="92" spans="2:13" ht="15.75" customHeight="1" x14ac:dyDescent="0.25">
      <c r="B92" s="425"/>
      <c r="C92" s="422"/>
      <c r="D92" s="28">
        <v>2018</v>
      </c>
      <c r="E92" s="28"/>
      <c r="F92" s="28"/>
      <c r="G92" s="28" t="s">
        <v>17</v>
      </c>
      <c r="H92" s="28"/>
      <c r="I92" s="28"/>
      <c r="J92" s="28">
        <v>1</v>
      </c>
      <c r="K92" s="488"/>
      <c r="L92" s="422"/>
      <c r="M92" s="458"/>
    </row>
    <row r="93" spans="2:13" ht="15.75" customHeight="1" x14ac:dyDescent="0.25">
      <c r="B93" s="426"/>
      <c r="C93" s="423"/>
      <c r="D93" s="28">
        <v>2019</v>
      </c>
      <c r="E93" s="28"/>
      <c r="F93" s="28"/>
      <c r="G93" s="28" t="s">
        <v>17</v>
      </c>
      <c r="H93" s="28"/>
      <c r="I93" s="28"/>
      <c r="J93" s="28">
        <v>1</v>
      </c>
      <c r="K93" s="504"/>
      <c r="L93" s="423"/>
      <c r="M93" s="458"/>
    </row>
    <row r="94" spans="2:13" ht="15.75" customHeight="1" x14ac:dyDescent="0.25">
      <c r="B94" s="424" t="s">
        <v>215</v>
      </c>
      <c r="C94" s="421" t="s">
        <v>216</v>
      </c>
      <c r="D94" s="28">
        <v>2017</v>
      </c>
      <c r="E94" s="28"/>
      <c r="F94" s="28"/>
      <c r="G94" s="28" t="s">
        <v>17</v>
      </c>
      <c r="H94" s="28" t="s">
        <v>17</v>
      </c>
      <c r="I94" s="28"/>
      <c r="J94" s="28">
        <v>2</v>
      </c>
      <c r="K94" s="487">
        <f>(SUM(J94:J96)/3)/5</f>
        <v>0.4</v>
      </c>
      <c r="L94" s="421" t="s">
        <v>217</v>
      </c>
      <c r="M94" s="545" t="s">
        <v>218</v>
      </c>
    </row>
    <row r="95" spans="2:13" ht="15.75" customHeight="1" x14ac:dyDescent="0.25">
      <c r="B95" s="425"/>
      <c r="C95" s="422"/>
      <c r="D95" s="28">
        <v>2018</v>
      </c>
      <c r="E95" s="28"/>
      <c r="F95" s="28"/>
      <c r="G95" s="28" t="s">
        <v>17</v>
      </c>
      <c r="H95" s="28" t="s">
        <v>17</v>
      </c>
      <c r="I95" s="28"/>
      <c r="J95" s="28">
        <v>2</v>
      </c>
      <c r="K95" s="488"/>
      <c r="L95" s="422"/>
      <c r="M95" s="422"/>
    </row>
    <row r="96" spans="2:13" ht="15.75" customHeight="1" x14ac:dyDescent="0.25">
      <c r="B96" s="426"/>
      <c r="C96" s="423"/>
      <c r="D96" s="28">
        <v>2019</v>
      </c>
      <c r="E96" s="28"/>
      <c r="F96" s="28"/>
      <c r="G96" s="28" t="s">
        <v>17</v>
      </c>
      <c r="H96" s="28" t="s">
        <v>17</v>
      </c>
      <c r="I96" s="28"/>
      <c r="J96" s="28">
        <v>2</v>
      </c>
      <c r="K96" s="504"/>
      <c r="L96" s="423"/>
      <c r="M96" s="423"/>
    </row>
    <row r="97" spans="2:13" ht="15.75" customHeight="1" x14ac:dyDescent="0.25">
      <c r="B97" s="424" t="s">
        <v>219</v>
      </c>
      <c r="C97" s="421" t="s">
        <v>220</v>
      </c>
      <c r="D97" s="28">
        <v>2017</v>
      </c>
      <c r="E97" s="28"/>
      <c r="F97" s="28"/>
      <c r="G97" s="28" t="s">
        <v>17</v>
      </c>
      <c r="H97" s="28"/>
      <c r="I97" s="28"/>
      <c r="J97" s="28">
        <v>1</v>
      </c>
      <c r="K97" s="487">
        <f>(SUM(J97:J99)/3)/5</f>
        <v>0.2</v>
      </c>
      <c r="L97" s="421" t="s">
        <v>221</v>
      </c>
      <c r="M97" s="421" t="s">
        <v>222</v>
      </c>
    </row>
    <row r="98" spans="2:13" ht="15.75" customHeight="1" x14ac:dyDescent="0.25">
      <c r="B98" s="425"/>
      <c r="C98" s="422"/>
      <c r="D98" s="28">
        <v>2018</v>
      </c>
      <c r="E98" s="28"/>
      <c r="F98" s="28"/>
      <c r="G98" s="28" t="s">
        <v>17</v>
      </c>
      <c r="H98" s="28"/>
      <c r="I98" s="28"/>
      <c r="J98" s="28">
        <v>1</v>
      </c>
      <c r="K98" s="488"/>
      <c r="L98" s="422"/>
      <c r="M98" s="422"/>
    </row>
    <row r="99" spans="2:13" ht="15.75" customHeight="1" x14ac:dyDescent="0.25">
      <c r="B99" s="426"/>
      <c r="C99" s="423"/>
      <c r="D99" s="28">
        <v>2019</v>
      </c>
      <c r="E99" s="28"/>
      <c r="F99" s="28"/>
      <c r="G99" s="28" t="s">
        <v>17</v>
      </c>
      <c r="H99" s="28"/>
      <c r="I99" s="28"/>
      <c r="J99" s="28">
        <v>1</v>
      </c>
      <c r="K99" s="504"/>
      <c r="L99" s="422"/>
      <c r="M99" s="422"/>
    </row>
    <row r="100" spans="2:13" ht="15.75" customHeight="1" x14ac:dyDescent="0.25">
      <c r="B100" s="424" t="s">
        <v>223</v>
      </c>
      <c r="C100" s="421" t="s">
        <v>224</v>
      </c>
      <c r="D100" s="28">
        <v>2017</v>
      </c>
      <c r="E100" s="28"/>
      <c r="F100" s="28"/>
      <c r="G100" s="28"/>
      <c r="H100" s="28" t="s">
        <v>17</v>
      </c>
      <c r="I100" s="28"/>
      <c r="J100" s="28">
        <v>1</v>
      </c>
      <c r="K100" s="487">
        <f>(SUM(J100:J102)/3)/5</f>
        <v>0.2</v>
      </c>
      <c r="L100" s="166" t="s">
        <v>225</v>
      </c>
      <c r="M100" s="166" t="s">
        <v>285</v>
      </c>
    </row>
    <row r="101" spans="2:13" ht="15.75" customHeight="1" x14ac:dyDescent="0.25">
      <c r="B101" s="425"/>
      <c r="C101" s="422"/>
      <c r="D101" s="28">
        <v>2018</v>
      </c>
      <c r="E101" s="28"/>
      <c r="F101" s="28"/>
      <c r="G101" s="28"/>
      <c r="H101" s="28" t="s">
        <v>17</v>
      </c>
      <c r="I101" s="28"/>
      <c r="J101" s="28">
        <v>1</v>
      </c>
      <c r="K101" s="488"/>
      <c r="L101" s="459" t="s">
        <v>226</v>
      </c>
      <c r="M101" s="459" t="s">
        <v>227</v>
      </c>
    </row>
    <row r="102" spans="2:13" ht="15.75" customHeight="1" x14ac:dyDescent="0.25">
      <c r="B102" s="426"/>
      <c r="C102" s="423"/>
      <c r="D102" s="28">
        <v>2019</v>
      </c>
      <c r="E102" s="28"/>
      <c r="F102" s="28"/>
      <c r="G102" s="28"/>
      <c r="H102" s="28" t="s">
        <v>17</v>
      </c>
      <c r="I102" s="28"/>
      <c r="J102" s="28">
        <v>1</v>
      </c>
      <c r="K102" s="504"/>
      <c r="L102" s="459"/>
      <c r="M102" s="459"/>
    </row>
    <row r="103" spans="2:13" s="58" customFormat="1" ht="15.75" customHeight="1" x14ac:dyDescent="0.25">
      <c r="B103" s="513" t="s">
        <v>236</v>
      </c>
      <c r="C103" s="516" t="s">
        <v>237</v>
      </c>
      <c r="D103" s="66">
        <v>2017</v>
      </c>
      <c r="E103" s="66"/>
      <c r="F103" s="66"/>
      <c r="G103" s="66"/>
      <c r="H103" s="66" t="s">
        <v>17</v>
      </c>
      <c r="I103" s="66" t="s">
        <v>17</v>
      </c>
      <c r="J103" s="66">
        <v>2</v>
      </c>
      <c r="K103" s="487">
        <f>(SUM(J103:J105)/3)/5</f>
        <v>0.4</v>
      </c>
      <c r="L103" s="526" t="s">
        <v>238</v>
      </c>
      <c r="M103" s="526" t="s">
        <v>239</v>
      </c>
    </row>
    <row r="104" spans="2:13" s="58" customFormat="1" ht="15.75" customHeight="1" x14ac:dyDescent="0.25">
      <c r="B104" s="514"/>
      <c r="C104" s="517"/>
      <c r="D104" s="66">
        <v>2018</v>
      </c>
      <c r="E104" s="66"/>
      <c r="F104" s="66"/>
      <c r="G104" s="66"/>
      <c r="H104" s="66" t="s">
        <v>17</v>
      </c>
      <c r="I104" s="66" t="s">
        <v>17</v>
      </c>
      <c r="J104" s="66">
        <v>2</v>
      </c>
      <c r="K104" s="488"/>
      <c r="L104" s="517"/>
      <c r="M104" s="517"/>
    </row>
    <row r="105" spans="2:13" s="58" customFormat="1" ht="15.75" customHeight="1" x14ac:dyDescent="0.25">
      <c r="B105" s="515"/>
      <c r="C105" s="518"/>
      <c r="D105" s="66">
        <v>2019</v>
      </c>
      <c r="E105" s="66"/>
      <c r="F105" s="66"/>
      <c r="G105" s="66"/>
      <c r="H105" s="66" t="s">
        <v>17</v>
      </c>
      <c r="I105" s="66" t="s">
        <v>17</v>
      </c>
      <c r="J105" s="66">
        <v>2</v>
      </c>
      <c r="K105" s="504"/>
      <c r="L105" s="518"/>
      <c r="M105" s="518"/>
    </row>
    <row r="106" spans="2:13" s="58" customFormat="1" ht="15.75" customHeight="1" x14ac:dyDescent="0.25">
      <c r="B106" s="513" t="s">
        <v>241</v>
      </c>
      <c r="C106" s="516" t="s">
        <v>242</v>
      </c>
      <c r="D106" s="66">
        <v>2017</v>
      </c>
      <c r="E106" s="66"/>
      <c r="F106" s="66"/>
      <c r="G106" s="66" t="s">
        <v>17</v>
      </c>
      <c r="H106" s="66"/>
      <c r="I106" s="66"/>
      <c r="J106" s="66">
        <v>1</v>
      </c>
      <c r="K106" s="487">
        <f>(SUM(J106:J108)/3)/5</f>
        <v>0.2</v>
      </c>
      <c r="L106" s="513" t="s">
        <v>240</v>
      </c>
      <c r="M106" s="513" t="s">
        <v>280</v>
      </c>
    </row>
    <row r="107" spans="2:13" s="58" customFormat="1" ht="15.75" customHeight="1" x14ac:dyDescent="0.25">
      <c r="B107" s="514"/>
      <c r="C107" s="517"/>
      <c r="D107" s="66">
        <v>2018</v>
      </c>
      <c r="E107" s="66"/>
      <c r="F107" s="66"/>
      <c r="G107" s="66" t="s">
        <v>17</v>
      </c>
      <c r="H107" s="66"/>
      <c r="I107" s="66"/>
      <c r="J107" s="66">
        <v>1</v>
      </c>
      <c r="K107" s="488"/>
      <c r="L107" s="514"/>
      <c r="M107" s="514"/>
    </row>
    <row r="108" spans="2:13" s="58" customFormat="1" ht="15.75" customHeight="1" x14ac:dyDescent="0.25">
      <c r="B108" s="515"/>
      <c r="C108" s="518"/>
      <c r="D108" s="66">
        <v>2019</v>
      </c>
      <c r="E108" s="66"/>
      <c r="F108" s="66"/>
      <c r="G108" s="66" t="s">
        <v>17</v>
      </c>
      <c r="H108" s="66"/>
      <c r="I108" s="66"/>
      <c r="J108" s="66">
        <v>1</v>
      </c>
      <c r="K108" s="504"/>
      <c r="L108" s="515"/>
      <c r="M108" s="515"/>
    </row>
    <row r="109" spans="2:13" s="58" customFormat="1" ht="15.75" customHeight="1" x14ac:dyDescent="0.25">
      <c r="B109" s="513" t="s">
        <v>247</v>
      </c>
      <c r="C109" s="516" t="s">
        <v>248</v>
      </c>
      <c r="D109" s="66">
        <v>2017</v>
      </c>
      <c r="E109" s="66"/>
      <c r="F109" s="66"/>
      <c r="G109" s="66" t="s">
        <v>17</v>
      </c>
      <c r="H109" s="66"/>
      <c r="I109" s="66"/>
      <c r="J109" s="66">
        <v>1</v>
      </c>
      <c r="K109" s="487">
        <f>(SUM(J109:J111)/3)/5</f>
        <v>0.2</v>
      </c>
      <c r="L109" s="516" t="s">
        <v>249</v>
      </c>
      <c r="M109" s="513" t="s">
        <v>280</v>
      </c>
    </row>
    <row r="110" spans="2:13" s="58" customFormat="1" ht="15.75" customHeight="1" x14ac:dyDescent="0.25">
      <c r="B110" s="514"/>
      <c r="C110" s="517"/>
      <c r="D110" s="66">
        <v>2018</v>
      </c>
      <c r="E110" s="66"/>
      <c r="F110" s="66"/>
      <c r="G110" s="66" t="s">
        <v>17</v>
      </c>
      <c r="H110" s="66"/>
      <c r="I110" s="66"/>
      <c r="J110" s="66">
        <v>1</v>
      </c>
      <c r="K110" s="488"/>
      <c r="L110" s="517"/>
      <c r="M110" s="514"/>
    </row>
    <row r="111" spans="2:13" s="58" customFormat="1" ht="15.75" customHeight="1" x14ac:dyDescent="0.25">
      <c r="B111" s="515"/>
      <c r="C111" s="518"/>
      <c r="D111" s="66">
        <v>2019</v>
      </c>
      <c r="E111" s="66"/>
      <c r="F111" s="66"/>
      <c r="G111" s="66" t="s">
        <v>17</v>
      </c>
      <c r="H111" s="66"/>
      <c r="I111" s="66"/>
      <c r="J111" s="66">
        <v>1</v>
      </c>
      <c r="K111" s="504"/>
      <c r="L111" s="518"/>
      <c r="M111" s="515"/>
    </row>
    <row r="112" spans="2:13" s="58" customFormat="1" ht="15.75" customHeight="1" x14ac:dyDescent="0.25">
      <c r="B112" s="513" t="s">
        <v>250</v>
      </c>
      <c r="C112" s="516" t="s">
        <v>251</v>
      </c>
      <c r="D112" s="66">
        <v>2017</v>
      </c>
      <c r="E112" s="66" t="s">
        <v>17</v>
      </c>
      <c r="F112" s="66"/>
      <c r="G112" s="66"/>
      <c r="H112" s="66"/>
      <c r="I112" s="66"/>
      <c r="J112" s="66">
        <v>1</v>
      </c>
      <c r="K112" s="487">
        <f>(SUM(J112:J114)/3)/5</f>
        <v>0.2</v>
      </c>
      <c r="L112" s="513" t="s">
        <v>252</v>
      </c>
      <c r="M112" s="513" t="s">
        <v>253</v>
      </c>
    </row>
    <row r="113" spans="2:13" s="58" customFormat="1" ht="15.75" customHeight="1" x14ac:dyDescent="0.25">
      <c r="B113" s="514"/>
      <c r="C113" s="517"/>
      <c r="D113" s="66">
        <v>2018</v>
      </c>
      <c r="E113" s="66" t="s">
        <v>17</v>
      </c>
      <c r="F113" s="66"/>
      <c r="G113" s="66"/>
      <c r="H113" s="66"/>
      <c r="I113" s="66"/>
      <c r="J113" s="66">
        <v>1</v>
      </c>
      <c r="K113" s="488"/>
      <c r="L113" s="514"/>
      <c r="M113" s="514"/>
    </row>
    <row r="114" spans="2:13" s="58" customFormat="1" ht="15.75" customHeight="1" x14ac:dyDescent="0.25">
      <c r="B114" s="515"/>
      <c r="C114" s="518"/>
      <c r="D114" s="66">
        <v>2019</v>
      </c>
      <c r="E114" s="66" t="s">
        <v>17</v>
      </c>
      <c r="F114" s="66"/>
      <c r="G114" s="66"/>
      <c r="H114" s="66"/>
      <c r="I114" s="66"/>
      <c r="J114" s="66">
        <v>1</v>
      </c>
      <c r="K114" s="504"/>
      <c r="L114" s="515"/>
      <c r="M114" s="515"/>
    </row>
    <row r="115" spans="2:13" s="58" customFormat="1" ht="15.75" customHeight="1" x14ac:dyDescent="0.25">
      <c r="B115" s="513" t="s">
        <v>256</v>
      </c>
      <c r="C115" s="516" t="s">
        <v>257</v>
      </c>
      <c r="D115" s="66">
        <v>2017</v>
      </c>
      <c r="E115" s="66"/>
      <c r="F115" s="66"/>
      <c r="G115" s="66"/>
      <c r="H115" s="66" t="s">
        <v>17</v>
      </c>
      <c r="I115" s="66" t="s">
        <v>17</v>
      </c>
      <c r="J115" s="66">
        <v>2</v>
      </c>
      <c r="K115" s="487">
        <f>(SUM(J115:J117)/3)/5</f>
        <v>0.4</v>
      </c>
      <c r="L115" s="516" t="s">
        <v>258</v>
      </c>
      <c r="M115" s="516" t="s">
        <v>259</v>
      </c>
    </row>
    <row r="116" spans="2:13" s="58" customFormat="1" ht="15.75" customHeight="1" x14ac:dyDescent="0.25">
      <c r="B116" s="514"/>
      <c r="C116" s="517"/>
      <c r="D116" s="66">
        <v>2018</v>
      </c>
      <c r="E116" s="66"/>
      <c r="F116" s="66"/>
      <c r="G116" s="66"/>
      <c r="H116" s="66" t="s">
        <v>17</v>
      </c>
      <c r="I116" s="66" t="s">
        <v>17</v>
      </c>
      <c r="J116" s="66">
        <v>2</v>
      </c>
      <c r="K116" s="488"/>
      <c r="L116" s="517"/>
      <c r="M116" s="517"/>
    </row>
    <row r="117" spans="2:13" s="58" customFormat="1" ht="15.75" customHeight="1" x14ac:dyDescent="0.25">
      <c r="B117" s="515"/>
      <c r="C117" s="518"/>
      <c r="D117" s="66">
        <v>2019</v>
      </c>
      <c r="E117" s="66"/>
      <c r="F117" s="66"/>
      <c r="G117" s="66"/>
      <c r="H117" s="66" t="s">
        <v>17</v>
      </c>
      <c r="I117" s="66" t="s">
        <v>17</v>
      </c>
      <c r="J117" s="66">
        <v>2</v>
      </c>
      <c r="K117" s="504"/>
      <c r="L117" s="518"/>
      <c r="M117" s="518"/>
    </row>
    <row r="118" spans="2:13" s="58" customFormat="1" ht="15.75" customHeight="1" x14ac:dyDescent="0.25">
      <c r="B118" s="513" t="s">
        <v>264</v>
      </c>
      <c r="C118" s="516" t="s">
        <v>265</v>
      </c>
      <c r="D118" s="66">
        <v>2017</v>
      </c>
      <c r="E118" s="66"/>
      <c r="F118" s="66"/>
      <c r="G118" s="66"/>
      <c r="H118" s="66"/>
      <c r="I118" s="66"/>
      <c r="J118" s="66">
        <v>0</v>
      </c>
      <c r="K118" s="487">
        <f>(SUM(J118:J120)/3)/5</f>
        <v>0</v>
      </c>
      <c r="L118" s="516" t="s">
        <v>26</v>
      </c>
      <c r="M118" s="516" t="s">
        <v>26</v>
      </c>
    </row>
    <row r="119" spans="2:13" s="58" customFormat="1" ht="15.75" customHeight="1" x14ac:dyDescent="0.25">
      <c r="B119" s="514"/>
      <c r="C119" s="517"/>
      <c r="D119" s="66">
        <v>2018</v>
      </c>
      <c r="E119" s="66"/>
      <c r="F119" s="66"/>
      <c r="G119" s="66"/>
      <c r="H119" s="66"/>
      <c r="I119" s="66"/>
      <c r="J119" s="66">
        <v>0</v>
      </c>
      <c r="K119" s="488"/>
      <c r="L119" s="517"/>
      <c r="M119" s="517"/>
    </row>
    <row r="120" spans="2:13" s="58" customFormat="1" ht="15.75" customHeight="1" x14ac:dyDescent="0.25">
      <c r="B120" s="515"/>
      <c r="C120" s="518"/>
      <c r="D120" s="66">
        <v>2019</v>
      </c>
      <c r="E120" s="66"/>
      <c r="F120" s="66"/>
      <c r="G120" s="66"/>
      <c r="H120" s="66"/>
      <c r="I120" s="66"/>
      <c r="J120" s="66">
        <v>0</v>
      </c>
      <c r="K120" s="504"/>
      <c r="L120" s="517"/>
      <c r="M120" s="517"/>
    </row>
    <row r="121" spans="2:13" s="58" customFormat="1" ht="30" x14ac:dyDescent="0.25">
      <c r="B121" s="513" t="s">
        <v>266</v>
      </c>
      <c r="C121" s="516" t="s">
        <v>267</v>
      </c>
      <c r="D121" s="66">
        <v>2017</v>
      </c>
      <c r="E121" s="66" t="s">
        <v>17</v>
      </c>
      <c r="F121" s="66"/>
      <c r="G121" s="66"/>
      <c r="H121" s="66"/>
      <c r="I121" s="66"/>
      <c r="J121" s="176">
        <v>1</v>
      </c>
      <c r="K121" s="487">
        <f>(SUM(J121:J123)/3)/5</f>
        <v>0.13333333333333333</v>
      </c>
      <c r="L121" s="177" t="s">
        <v>270</v>
      </c>
      <c r="M121" s="177" t="s">
        <v>269</v>
      </c>
    </row>
    <row r="122" spans="2:13" s="58" customFormat="1" ht="30" x14ac:dyDescent="0.25">
      <c r="B122" s="514"/>
      <c r="C122" s="517"/>
      <c r="D122" s="66">
        <v>2018</v>
      </c>
      <c r="E122" s="66" t="s">
        <v>17</v>
      </c>
      <c r="F122" s="66"/>
      <c r="G122" s="66"/>
      <c r="H122" s="66"/>
      <c r="I122" s="66"/>
      <c r="J122" s="176">
        <v>1</v>
      </c>
      <c r="K122" s="488"/>
      <c r="L122" s="177" t="s">
        <v>271</v>
      </c>
      <c r="M122" s="177" t="s">
        <v>268</v>
      </c>
    </row>
    <row r="123" spans="2:13" s="58" customFormat="1" ht="15.75" customHeight="1" x14ac:dyDescent="0.25">
      <c r="B123" s="515"/>
      <c r="C123" s="518"/>
      <c r="D123" s="66">
        <v>2019</v>
      </c>
      <c r="E123" s="66"/>
      <c r="F123" s="66"/>
      <c r="G123" s="66"/>
      <c r="H123" s="66"/>
      <c r="I123" s="66"/>
      <c r="J123" s="176">
        <v>0</v>
      </c>
      <c r="K123" s="504"/>
      <c r="L123" s="169" t="s">
        <v>26</v>
      </c>
      <c r="M123" s="169" t="s">
        <v>26</v>
      </c>
    </row>
    <row r="124" spans="2:13" s="58" customFormat="1" ht="15.75" customHeight="1" x14ac:dyDescent="0.25">
      <c r="B124" s="414" t="s">
        <v>276</v>
      </c>
      <c r="C124" s="481" t="s">
        <v>277</v>
      </c>
      <c r="D124" s="67">
        <v>2017</v>
      </c>
      <c r="E124" s="66" t="s">
        <v>17</v>
      </c>
      <c r="F124" s="66"/>
      <c r="G124" s="66"/>
      <c r="H124" s="66"/>
      <c r="I124" s="66"/>
      <c r="J124" s="66">
        <v>1</v>
      </c>
      <c r="K124" s="487">
        <f>(SUM(J124:J126)/3)/5</f>
        <v>0.2</v>
      </c>
      <c r="L124" s="526" t="s">
        <v>279</v>
      </c>
      <c r="M124" s="525" t="s">
        <v>280</v>
      </c>
    </row>
    <row r="125" spans="2:13" s="58" customFormat="1" ht="15.75" customHeight="1" x14ac:dyDescent="0.25">
      <c r="B125" s="414"/>
      <c r="C125" s="481"/>
      <c r="D125" s="67">
        <v>2018</v>
      </c>
      <c r="E125" s="66" t="s">
        <v>17</v>
      </c>
      <c r="F125" s="66"/>
      <c r="G125" s="66"/>
      <c r="H125" s="66"/>
      <c r="I125" s="66"/>
      <c r="J125" s="66">
        <v>1</v>
      </c>
      <c r="K125" s="488"/>
      <c r="L125" s="517"/>
      <c r="M125" s="514"/>
    </row>
    <row r="126" spans="2:13" s="58" customFormat="1" ht="15.75" customHeight="1" x14ac:dyDescent="0.25">
      <c r="B126" s="414"/>
      <c r="C126" s="481"/>
      <c r="D126" s="67">
        <v>2019</v>
      </c>
      <c r="E126" s="66" t="s">
        <v>17</v>
      </c>
      <c r="F126" s="66"/>
      <c r="G126" s="66"/>
      <c r="H126" s="66"/>
      <c r="I126" s="66"/>
      <c r="J126" s="66">
        <v>1</v>
      </c>
      <c r="K126" s="504"/>
      <c r="L126" s="518"/>
      <c r="M126" s="515"/>
    </row>
    <row r="127" spans="2:13" s="58" customFormat="1" ht="15.75" customHeight="1" x14ac:dyDescent="0.25">
      <c r="B127" s="525" t="s">
        <v>292</v>
      </c>
      <c r="C127" s="526" t="s">
        <v>293</v>
      </c>
      <c r="D127" s="67">
        <v>2017</v>
      </c>
      <c r="E127" s="66" t="s">
        <v>17</v>
      </c>
      <c r="F127" s="66" t="s">
        <v>17</v>
      </c>
      <c r="G127" s="66"/>
      <c r="H127" s="66"/>
      <c r="I127" s="66"/>
      <c r="J127" s="66">
        <v>2</v>
      </c>
      <c r="K127" s="487">
        <f>(SUM(J127:J129)/3)/5</f>
        <v>0.4</v>
      </c>
      <c r="L127" s="516" t="s">
        <v>294</v>
      </c>
      <c r="M127" s="525" t="s">
        <v>280</v>
      </c>
    </row>
    <row r="128" spans="2:13" s="58" customFormat="1" ht="15.75" customHeight="1" x14ac:dyDescent="0.25">
      <c r="B128" s="514"/>
      <c r="C128" s="517"/>
      <c r="D128" s="67">
        <v>2018</v>
      </c>
      <c r="E128" s="66" t="s">
        <v>17</v>
      </c>
      <c r="F128" s="66" t="s">
        <v>17</v>
      </c>
      <c r="G128" s="66"/>
      <c r="H128" s="66"/>
      <c r="I128" s="66"/>
      <c r="J128" s="66">
        <v>2</v>
      </c>
      <c r="K128" s="488"/>
      <c r="L128" s="517"/>
      <c r="M128" s="514"/>
    </row>
    <row r="129" spans="2:13" s="58" customFormat="1" ht="15.75" customHeight="1" x14ac:dyDescent="0.25">
      <c r="B129" s="515"/>
      <c r="C129" s="518"/>
      <c r="D129" s="67">
        <v>2019</v>
      </c>
      <c r="E129" s="66" t="s">
        <v>17</v>
      </c>
      <c r="F129" s="66" t="s">
        <v>17</v>
      </c>
      <c r="G129" s="66"/>
      <c r="H129" s="66"/>
      <c r="I129" s="66"/>
      <c r="J129" s="66">
        <v>2</v>
      </c>
      <c r="K129" s="504"/>
      <c r="L129" s="518"/>
      <c r="M129" s="515"/>
    </row>
    <row r="130" spans="2:13" s="58" customFormat="1" ht="15.75" customHeight="1" x14ac:dyDescent="0.25">
      <c r="B130" s="513" t="s">
        <v>301</v>
      </c>
      <c r="C130" s="516" t="s">
        <v>298</v>
      </c>
      <c r="D130" s="67">
        <v>2017</v>
      </c>
      <c r="E130" s="66" t="s">
        <v>17</v>
      </c>
      <c r="F130" s="66"/>
      <c r="G130" s="66"/>
      <c r="H130" s="66"/>
      <c r="I130" s="66"/>
      <c r="J130" s="66">
        <v>1</v>
      </c>
      <c r="K130" s="487">
        <f>(SUM(J130:J132)/3)/5</f>
        <v>0.2</v>
      </c>
      <c r="L130" s="519" t="s">
        <v>299</v>
      </c>
      <c r="M130" s="522" t="s">
        <v>300</v>
      </c>
    </row>
    <row r="131" spans="2:13" s="58" customFormat="1" ht="15.75" customHeight="1" x14ac:dyDescent="0.25">
      <c r="B131" s="514"/>
      <c r="C131" s="517"/>
      <c r="D131" s="67">
        <v>2018</v>
      </c>
      <c r="E131" s="66" t="s">
        <v>17</v>
      </c>
      <c r="F131" s="66"/>
      <c r="G131" s="66"/>
      <c r="H131" s="66"/>
      <c r="I131" s="66"/>
      <c r="J131" s="66">
        <v>1</v>
      </c>
      <c r="K131" s="488"/>
      <c r="L131" s="520"/>
      <c r="M131" s="523"/>
    </row>
    <row r="132" spans="2:13" s="58" customFormat="1" ht="15.75" customHeight="1" x14ac:dyDescent="0.25">
      <c r="B132" s="515"/>
      <c r="C132" s="518"/>
      <c r="D132" s="67">
        <v>2019</v>
      </c>
      <c r="E132" s="66" t="s">
        <v>17</v>
      </c>
      <c r="F132" s="66"/>
      <c r="G132" s="66"/>
      <c r="H132" s="66"/>
      <c r="I132" s="66"/>
      <c r="J132" s="66">
        <v>1</v>
      </c>
      <c r="K132" s="504"/>
      <c r="L132" s="521"/>
      <c r="M132" s="524"/>
    </row>
    <row r="133" spans="2:13" s="58" customFormat="1" ht="15.75" customHeight="1" x14ac:dyDescent="0.25">
      <c r="B133" s="513" t="s">
        <v>297</v>
      </c>
      <c r="C133" s="516" t="s">
        <v>304</v>
      </c>
      <c r="D133" s="67">
        <v>2017</v>
      </c>
      <c r="E133" s="66" t="s">
        <v>17</v>
      </c>
      <c r="F133" s="66"/>
      <c r="G133" s="66"/>
      <c r="H133" s="66"/>
      <c r="I133" s="66"/>
      <c r="J133" s="66">
        <v>1</v>
      </c>
      <c r="K133" s="487">
        <f>(SUM(J133:J135)/3)/5</f>
        <v>0.2</v>
      </c>
      <c r="L133" s="516" t="s">
        <v>305</v>
      </c>
      <c r="M133" s="513" t="s">
        <v>280</v>
      </c>
    </row>
    <row r="134" spans="2:13" s="58" customFormat="1" ht="15.75" customHeight="1" x14ac:dyDescent="0.25">
      <c r="B134" s="514"/>
      <c r="C134" s="517"/>
      <c r="D134" s="67">
        <v>2018</v>
      </c>
      <c r="E134" s="66" t="s">
        <v>17</v>
      </c>
      <c r="F134" s="66"/>
      <c r="G134" s="66"/>
      <c r="H134" s="66"/>
      <c r="I134" s="66"/>
      <c r="J134" s="66">
        <v>1</v>
      </c>
      <c r="K134" s="488"/>
      <c r="L134" s="517"/>
      <c r="M134" s="514"/>
    </row>
    <row r="135" spans="2:13" s="58" customFormat="1" ht="15.75" customHeight="1" x14ac:dyDescent="0.25">
      <c r="B135" s="515"/>
      <c r="C135" s="518"/>
      <c r="D135" s="67">
        <v>2019</v>
      </c>
      <c r="E135" s="66" t="s">
        <v>17</v>
      </c>
      <c r="F135" s="66"/>
      <c r="G135" s="66"/>
      <c r="H135" s="66"/>
      <c r="I135" s="66"/>
      <c r="J135" s="66">
        <v>1</v>
      </c>
      <c r="K135" s="504"/>
      <c r="L135" s="518"/>
      <c r="M135" s="515"/>
    </row>
    <row r="136" spans="2:13" s="58" customFormat="1" ht="15.75" customHeight="1" x14ac:dyDescent="0.25">
      <c r="B136" s="513" t="s">
        <v>310</v>
      </c>
      <c r="C136" s="516" t="s">
        <v>311</v>
      </c>
      <c r="D136" s="67">
        <v>2017</v>
      </c>
      <c r="E136" s="66" t="s">
        <v>17</v>
      </c>
      <c r="F136" s="66"/>
      <c r="G136" s="66" t="s">
        <v>17</v>
      </c>
      <c r="H136" s="66"/>
      <c r="I136" s="66"/>
      <c r="J136" s="66">
        <v>2</v>
      </c>
      <c r="K136" s="487">
        <f>(SUM(J136:J138)/3)/5</f>
        <v>0.4</v>
      </c>
      <c r="L136" s="519" t="s">
        <v>312</v>
      </c>
      <c r="M136" s="516" t="s">
        <v>313</v>
      </c>
    </row>
    <row r="137" spans="2:13" s="58" customFormat="1" ht="15.75" customHeight="1" x14ac:dyDescent="0.25">
      <c r="B137" s="514"/>
      <c r="C137" s="517"/>
      <c r="D137" s="67">
        <v>2018</v>
      </c>
      <c r="E137" s="66" t="s">
        <v>17</v>
      </c>
      <c r="F137" s="66"/>
      <c r="G137" s="66" t="s">
        <v>17</v>
      </c>
      <c r="H137" s="66"/>
      <c r="I137" s="66"/>
      <c r="J137" s="66">
        <v>2</v>
      </c>
      <c r="K137" s="488"/>
      <c r="L137" s="520"/>
      <c r="M137" s="517"/>
    </row>
    <row r="138" spans="2:13" s="58" customFormat="1" ht="15.75" customHeight="1" x14ac:dyDescent="0.25">
      <c r="B138" s="515"/>
      <c r="C138" s="518"/>
      <c r="D138" s="67">
        <v>2019</v>
      </c>
      <c r="E138" s="66" t="s">
        <v>17</v>
      </c>
      <c r="F138" s="66"/>
      <c r="G138" s="66" t="s">
        <v>17</v>
      </c>
      <c r="H138" s="66"/>
      <c r="I138" s="66"/>
      <c r="J138" s="66">
        <v>2</v>
      </c>
      <c r="K138" s="504"/>
      <c r="L138" s="521"/>
      <c r="M138" s="518"/>
    </row>
    <row r="139" spans="2:13" s="58" customFormat="1" ht="15.75" customHeight="1" x14ac:dyDescent="0.25">
      <c r="B139" s="513" t="s">
        <v>314</v>
      </c>
      <c r="C139" s="516" t="s">
        <v>315</v>
      </c>
      <c r="D139" s="67">
        <v>2017</v>
      </c>
      <c r="E139" s="66" t="s">
        <v>17</v>
      </c>
      <c r="F139" s="66"/>
      <c r="G139" s="66"/>
      <c r="H139" s="66"/>
      <c r="I139" s="66"/>
      <c r="J139" s="66">
        <v>1</v>
      </c>
      <c r="K139" s="487">
        <f>(SUM(J139:J141)/3)/5</f>
        <v>0.2</v>
      </c>
      <c r="L139" s="516" t="s">
        <v>316</v>
      </c>
      <c r="M139" s="516" t="s">
        <v>317</v>
      </c>
    </row>
    <row r="140" spans="2:13" s="58" customFormat="1" ht="15.75" customHeight="1" x14ac:dyDescent="0.25">
      <c r="B140" s="514"/>
      <c r="C140" s="517"/>
      <c r="D140" s="67">
        <v>2018</v>
      </c>
      <c r="E140" s="66" t="s">
        <v>17</v>
      </c>
      <c r="F140" s="66"/>
      <c r="G140" s="66"/>
      <c r="H140" s="66"/>
      <c r="I140" s="66"/>
      <c r="J140" s="66">
        <v>1</v>
      </c>
      <c r="K140" s="488"/>
      <c r="L140" s="517"/>
      <c r="M140" s="517"/>
    </row>
    <row r="141" spans="2:13" s="58" customFormat="1" ht="15.75" customHeight="1" x14ac:dyDescent="0.25">
      <c r="B141" s="515"/>
      <c r="C141" s="518"/>
      <c r="D141" s="67">
        <v>2019</v>
      </c>
      <c r="E141" s="66" t="s">
        <v>17</v>
      </c>
      <c r="F141" s="66"/>
      <c r="G141" s="66"/>
      <c r="H141" s="66"/>
      <c r="I141" s="66"/>
      <c r="J141" s="66">
        <v>1</v>
      </c>
      <c r="K141" s="504"/>
      <c r="L141" s="518"/>
      <c r="M141" s="518"/>
    </row>
    <row r="142" spans="2:13" s="58" customFormat="1" ht="15.75" customHeight="1" x14ac:dyDescent="0.25">
      <c r="B142" s="513" t="s">
        <v>320</v>
      </c>
      <c r="C142" s="516" t="s">
        <v>321</v>
      </c>
      <c r="D142" s="67">
        <v>2017</v>
      </c>
      <c r="E142" s="66" t="s">
        <v>17</v>
      </c>
      <c r="F142" s="66"/>
      <c r="G142" s="66"/>
      <c r="H142" s="66"/>
      <c r="I142" s="66"/>
      <c r="J142" s="66">
        <v>1</v>
      </c>
      <c r="K142" s="487">
        <f>(SUM(J142:J144)/3)/5</f>
        <v>0.2</v>
      </c>
      <c r="L142" s="516" t="s">
        <v>322</v>
      </c>
      <c r="M142" s="513" t="s">
        <v>280</v>
      </c>
    </row>
    <row r="143" spans="2:13" s="58" customFormat="1" ht="15.75" customHeight="1" x14ac:dyDescent="0.25">
      <c r="B143" s="514"/>
      <c r="C143" s="517"/>
      <c r="D143" s="67">
        <v>2018</v>
      </c>
      <c r="E143" s="66" t="s">
        <v>17</v>
      </c>
      <c r="F143" s="66"/>
      <c r="G143" s="66"/>
      <c r="H143" s="66"/>
      <c r="I143" s="66"/>
      <c r="J143" s="66">
        <v>1</v>
      </c>
      <c r="K143" s="488"/>
      <c r="L143" s="517"/>
      <c r="M143" s="514"/>
    </row>
    <row r="144" spans="2:13" s="58" customFormat="1" ht="15.75" customHeight="1" x14ac:dyDescent="0.25">
      <c r="B144" s="515"/>
      <c r="C144" s="518"/>
      <c r="D144" s="67">
        <v>2019</v>
      </c>
      <c r="E144" s="66" t="s">
        <v>17</v>
      </c>
      <c r="F144" s="66"/>
      <c r="G144" s="66"/>
      <c r="H144" s="66"/>
      <c r="I144" s="66"/>
      <c r="J144" s="66">
        <v>1</v>
      </c>
      <c r="K144" s="504"/>
      <c r="L144" s="518"/>
      <c r="M144" s="515"/>
    </row>
    <row r="145" spans="2:13" s="58" customFormat="1" ht="15.75" customHeight="1" x14ac:dyDescent="0.25">
      <c r="B145" s="513" t="s">
        <v>325</v>
      </c>
      <c r="C145" s="516" t="s">
        <v>326</v>
      </c>
      <c r="D145" s="67">
        <v>2017</v>
      </c>
      <c r="E145" s="66" t="s">
        <v>17</v>
      </c>
      <c r="F145" s="66"/>
      <c r="G145" s="66"/>
      <c r="H145" s="66"/>
      <c r="I145" s="66"/>
      <c r="J145" s="66">
        <v>1</v>
      </c>
      <c r="K145" s="487">
        <f>(SUM(J145:J147)/3)/5</f>
        <v>0.2</v>
      </c>
      <c r="L145" s="516" t="s">
        <v>327</v>
      </c>
      <c r="M145" s="516" t="s">
        <v>328</v>
      </c>
    </row>
    <row r="146" spans="2:13" s="58" customFormat="1" ht="15.75" customHeight="1" x14ac:dyDescent="0.25">
      <c r="B146" s="514"/>
      <c r="C146" s="517"/>
      <c r="D146" s="67">
        <v>2018</v>
      </c>
      <c r="E146" s="66" t="s">
        <v>17</v>
      </c>
      <c r="F146" s="66"/>
      <c r="G146" s="66"/>
      <c r="H146" s="66"/>
      <c r="I146" s="66"/>
      <c r="J146" s="66">
        <v>1</v>
      </c>
      <c r="K146" s="488"/>
      <c r="L146" s="517"/>
      <c r="M146" s="517"/>
    </row>
    <row r="147" spans="2:13" s="58" customFormat="1" ht="15.75" customHeight="1" x14ac:dyDescent="0.25">
      <c r="B147" s="515"/>
      <c r="C147" s="518"/>
      <c r="D147" s="67">
        <v>2019</v>
      </c>
      <c r="E147" s="66" t="s">
        <v>17</v>
      </c>
      <c r="F147" s="66"/>
      <c r="G147" s="66"/>
      <c r="H147" s="66"/>
      <c r="I147" s="66"/>
      <c r="J147" s="66">
        <v>1</v>
      </c>
      <c r="K147" s="504"/>
      <c r="L147" s="518"/>
      <c r="M147" s="518"/>
    </row>
    <row r="148" spans="2:13" s="58" customFormat="1" ht="15.75" customHeight="1" x14ac:dyDescent="0.25">
      <c r="B148" s="513" t="s">
        <v>329</v>
      </c>
      <c r="C148" s="516" t="s">
        <v>330</v>
      </c>
      <c r="D148" s="67">
        <v>2017</v>
      </c>
      <c r="E148" s="66" t="s">
        <v>17</v>
      </c>
      <c r="F148" s="66"/>
      <c r="G148" s="66"/>
      <c r="H148" s="66"/>
      <c r="I148" s="66"/>
      <c r="J148" s="66">
        <v>1</v>
      </c>
      <c r="K148" s="487">
        <f>(SUM(J148:J150)/3)/5</f>
        <v>0.2</v>
      </c>
      <c r="L148" s="516" t="s">
        <v>331</v>
      </c>
      <c r="M148" s="513" t="s">
        <v>332</v>
      </c>
    </row>
    <row r="149" spans="2:13" s="58" customFormat="1" ht="15.75" customHeight="1" x14ac:dyDescent="0.25">
      <c r="B149" s="514"/>
      <c r="C149" s="517"/>
      <c r="D149" s="67">
        <v>2018</v>
      </c>
      <c r="E149" s="66" t="s">
        <v>17</v>
      </c>
      <c r="F149" s="66"/>
      <c r="G149" s="66"/>
      <c r="H149" s="66"/>
      <c r="I149" s="66"/>
      <c r="J149" s="66">
        <v>1</v>
      </c>
      <c r="K149" s="488"/>
      <c r="L149" s="517"/>
      <c r="M149" s="514"/>
    </row>
    <row r="150" spans="2:13" s="58" customFormat="1" ht="15.75" customHeight="1" x14ac:dyDescent="0.25">
      <c r="B150" s="515"/>
      <c r="C150" s="518"/>
      <c r="D150" s="67">
        <v>2019</v>
      </c>
      <c r="E150" s="66" t="s">
        <v>17</v>
      </c>
      <c r="F150" s="66"/>
      <c r="G150" s="66"/>
      <c r="H150" s="66"/>
      <c r="I150" s="66"/>
      <c r="J150" s="66">
        <v>1</v>
      </c>
      <c r="K150" s="504"/>
      <c r="L150" s="518"/>
      <c r="M150" s="515"/>
    </row>
    <row r="151" spans="2:13" s="58" customFormat="1" ht="15.75" customHeight="1" x14ac:dyDescent="0.25">
      <c r="B151" s="513" t="s">
        <v>337</v>
      </c>
      <c r="C151" s="516" t="s">
        <v>338</v>
      </c>
      <c r="D151" s="67">
        <v>2017</v>
      </c>
      <c r="E151" s="66" t="s">
        <v>17</v>
      </c>
      <c r="F151" s="66"/>
      <c r="G151" s="66"/>
      <c r="H151" s="66"/>
      <c r="I151" s="66"/>
      <c r="J151" s="66">
        <v>1</v>
      </c>
      <c r="K151" s="487">
        <f>(SUM(J151:J153)/3)/5</f>
        <v>0.2</v>
      </c>
      <c r="L151" s="516" t="s">
        <v>339</v>
      </c>
      <c r="M151" s="513" t="s">
        <v>280</v>
      </c>
    </row>
    <row r="152" spans="2:13" s="58" customFormat="1" ht="15.75" customHeight="1" x14ac:dyDescent="0.25">
      <c r="B152" s="514"/>
      <c r="C152" s="517"/>
      <c r="D152" s="67">
        <v>2018</v>
      </c>
      <c r="E152" s="66" t="s">
        <v>17</v>
      </c>
      <c r="F152" s="66"/>
      <c r="G152" s="66"/>
      <c r="H152" s="66"/>
      <c r="I152" s="66"/>
      <c r="J152" s="66">
        <v>1</v>
      </c>
      <c r="K152" s="488"/>
      <c r="L152" s="517"/>
      <c r="M152" s="514"/>
    </row>
    <row r="153" spans="2:13" s="58" customFormat="1" ht="15.75" customHeight="1" x14ac:dyDescent="0.25">
      <c r="B153" s="515"/>
      <c r="C153" s="518"/>
      <c r="D153" s="67">
        <v>2019</v>
      </c>
      <c r="E153" s="66" t="s">
        <v>17</v>
      </c>
      <c r="F153" s="66"/>
      <c r="G153" s="66"/>
      <c r="H153" s="66"/>
      <c r="I153" s="66"/>
      <c r="J153" s="66">
        <v>1</v>
      </c>
      <c r="K153" s="504"/>
      <c r="L153" s="518"/>
      <c r="M153" s="515"/>
    </row>
    <row r="154" spans="2:13" s="58" customFormat="1" ht="15.75" customHeight="1" x14ac:dyDescent="0.25">
      <c r="B154" s="513" t="s">
        <v>340</v>
      </c>
      <c r="C154" s="516" t="s">
        <v>341</v>
      </c>
      <c r="D154" s="67">
        <v>2017</v>
      </c>
      <c r="E154" s="66" t="s">
        <v>17</v>
      </c>
      <c r="F154" s="66"/>
      <c r="G154" s="66"/>
      <c r="H154" s="66"/>
      <c r="I154" s="66"/>
      <c r="J154" s="66">
        <v>1</v>
      </c>
      <c r="K154" s="487">
        <f>(SUM(J154:J156)/3)/5</f>
        <v>0.2</v>
      </c>
      <c r="L154" s="516" t="s">
        <v>342</v>
      </c>
      <c r="M154" s="513" t="s">
        <v>343</v>
      </c>
    </row>
    <row r="155" spans="2:13" s="58" customFormat="1" ht="15.75" customHeight="1" x14ac:dyDescent="0.25">
      <c r="B155" s="514"/>
      <c r="C155" s="517"/>
      <c r="D155" s="67">
        <v>2018</v>
      </c>
      <c r="E155" s="66" t="s">
        <v>17</v>
      </c>
      <c r="F155" s="66"/>
      <c r="G155" s="66"/>
      <c r="H155" s="66"/>
      <c r="I155" s="66"/>
      <c r="J155" s="66">
        <v>1</v>
      </c>
      <c r="K155" s="488"/>
      <c r="L155" s="517"/>
      <c r="M155" s="514"/>
    </row>
    <row r="156" spans="2:13" s="58" customFormat="1" ht="15.75" customHeight="1" x14ac:dyDescent="0.25">
      <c r="B156" s="515"/>
      <c r="C156" s="518"/>
      <c r="D156" s="67">
        <v>2019</v>
      </c>
      <c r="E156" s="66" t="s">
        <v>17</v>
      </c>
      <c r="F156" s="66"/>
      <c r="G156" s="66"/>
      <c r="H156" s="66"/>
      <c r="I156" s="66"/>
      <c r="J156" s="66">
        <v>1</v>
      </c>
      <c r="K156" s="504"/>
      <c r="L156" s="518"/>
      <c r="M156" s="515"/>
    </row>
    <row r="157" spans="2:13" s="58" customFormat="1" ht="15.75" customHeight="1" x14ac:dyDescent="0.25">
      <c r="B157" s="513" t="s">
        <v>345</v>
      </c>
      <c r="C157" s="516" t="s">
        <v>346</v>
      </c>
      <c r="D157" s="67">
        <v>2017</v>
      </c>
      <c r="E157" s="66"/>
      <c r="F157" s="66"/>
      <c r="G157" s="66"/>
      <c r="H157" s="66"/>
      <c r="I157" s="66"/>
      <c r="J157" s="66">
        <v>0</v>
      </c>
      <c r="K157" s="487">
        <f>(SUM(J157:J159)/3)/5</f>
        <v>0</v>
      </c>
      <c r="L157" s="516" t="s">
        <v>26</v>
      </c>
      <c r="M157" s="513" t="s">
        <v>26</v>
      </c>
    </row>
    <row r="158" spans="2:13" s="58" customFormat="1" ht="15.75" customHeight="1" x14ac:dyDescent="0.25">
      <c r="B158" s="514"/>
      <c r="C158" s="517"/>
      <c r="D158" s="67">
        <v>2018</v>
      </c>
      <c r="E158" s="66"/>
      <c r="F158" s="66"/>
      <c r="G158" s="66"/>
      <c r="H158" s="66"/>
      <c r="I158" s="66"/>
      <c r="J158" s="66">
        <v>0</v>
      </c>
      <c r="K158" s="488"/>
      <c r="L158" s="517"/>
      <c r="M158" s="514"/>
    </row>
    <row r="159" spans="2:13" s="58" customFormat="1" ht="15.75" customHeight="1" x14ac:dyDescent="0.25">
      <c r="B159" s="515"/>
      <c r="C159" s="518"/>
      <c r="D159" s="67">
        <v>2019</v>
      </c>
      <c r="E159" s="66"/>
      <c r="F159" s="66"/>
      <c r="G159" s="66"/>
      <c r="H159" s="66"/>
      <c r="I159" s="66"/>
      <c r="J159" s="66">
        <v>0</v>
      </c>
      <c r="K159" s="504"/>
      <c r="L159" s="518"/>
      <c r="M159" s="515"/>
    </row>
    <row r="160" spans="2:13" s="58" customFormat="1" ht="15.75" customHeight="1" x14ac:dyDescent="0.25">
      <c r="B160" s="406" t="s">
        <v>349</v>
      </c>
      <c r="C160" s="406" t="s">
        <v>350</v>
      </c>
      <c r="D160" s="67">
        <v>2017</v>
      </c>
      <c r="E160" s="66" t="s">
        <v>17</v>
      </c>
      <c r="F160" s="66"/>
      <c r="G160" s="66"/>
      <c r="H160" s="66"/>
      <c r="I160" s="66"/>
      <c r="J160" s="66">
        <v>1</v>
      </c>
      <c r="K160" s="487">
        <f>(SUM(J160:J162)/3)/5</f>
        <v>0.26666666666666666</v>
      </c>
      <c r="L160" s="516" t="s">
        <v>351</v>
      </c>
      <c r="M160" s="513" t="s">
        <v>280</v>
      </c>
    </row>
    <row r="161" spans="2:13" s="58" customFormat="1" ht="15.75" customHeight="1" x14ac:dyDescent="0.25">
      <c r="B161" s="407"/>
      <c r="C161" s="407"/>
      <c r="D161" s="67">
        <v>2018</v>
      </c>
      <c r="E161" s="66" t="s">
        <v>17</v>
      </c>
      <c r="F161" s="66" t="s">
        <v>17</v>
      </c>
      <c r="G161" s="66"/>
      <c r="H161" s="66"/>
      <c r="I161" s="66"/>
      <c r="J161" s="66">
        <v>2</v>
      </c>
      <c r="K161" s="488"/>
      <c r="L161" s="517"/>
      <c r="M161" s="514"/>
    </row>
    <row r="162" spans="2:13" s="58" customFormat="1" ht="15.75" customHeight="1" x14ac:dyDescent="0.25">
      <c r="B162" s="408"/>
      <c r="C162" s="408"/>
      <c r="D162" s="67">
        <v>2019</v>
      </c>
      <c r="E162" s="66" t="s">
        <v>17</v>
      </c>
      <c r="F162" s="66"/>
      <c r="G162" s="66"/>
      <c r="H162" s="66"/>
      <c r="I162" s="66"/>
      <c r="J162" s="66">
        <v>1</v>
      </c>
      <c r="K162" s="504"/>
      <c r="L162" s="518"/>
      <c r="M162" s="515"/>
    </row>
    <row r="163" spans="2:13" s="58" customFormat="1" ht="15.75" customHeight="1" x14ac:dyDescent="0.25">
      <c r="B163" s="406" t="s">
        <v>354</v>
      </c>
      <c r="C163" s="409" t="s">
        <v>355</v>
      </c>
      <c r="D163" s="67">
        <v>2017</v>
      </c>
      <c r="E163" s="66" t="s">
        <v>17</v>
      </c>
      <c r="F163" s="66" t="s">
        <v>17</v>
      </c>
      <c r="G163" s="66"/>
      <c r="H163" s="66"/>
      <c r="I163" s="66"/>
      <c r="J163" s="66">
        <v>2</v>
      </c>
      <c r="K163" s="487">
        <f>(SUM(J163:J165)/3)/5</f>
        <v>0.4</v>
      </c>
      <c r="L163" s="516" t="s">
        <v>356</v>
      </c>
      <c r="M163" s="513" t="s">
        <v>357</v>
      </c>
    </row>
    <row r="164" spans="2:13" s="58" customFormat="1" ht="15.75" customHeight="1" x14ac:dyDescent="0.25">
      <c r="B164" s="407"/>
      <c r="C164" s="410"/>
      <c r="D164" s="67">
        <v>2018</v>
      </c>
      <c r="E164" s="66" t="s">
        <v>17</v>
      </c>
      <c r="F164" s="66" t="s">
        <v>17</v>
      </c>
      <c r="G164" s="66"/>
      <c r="H164" s="66"/>
      <c r="I164" s="66"/>
      <c r="J164" s="66">
        <v>2</v>
      </c>
      <c r="K164" s="488"/>
      <c r="L164" s="517"/>
      <c r="M164" s="514"/>
    </row>
    <row r="165" spans="2:13" s="58" customFormat="1" ht="15.75" customHeight="1" x14ac:dyDescent="0.25">
      <c r="B165" s="408"/>
      <c r="C165" s="411"/>
      <c r="D165" s="67">
        <v>2019</v>
      </c>
      <c r="E165" s="66" t="s">
        <v>17</v>
      </c>
      <c r="F165" s="66" t="s">
        <v>17</v>
      </c>
      <c r="G165" s="66"/>
      <c r="H165" s="66"/>
      <c r="I165" s="66"/>
      <c r="J165" s="66">
        <v>2</v>
      </c>
      <c r="K165" s="504"/>
      <c r="L165" s="518"/>
      <c r="M165" s="515"/>
    </row>
    <row r="166" spans="2:13" s="58" customFormat="1" ht="15.75" customHeight="1" x14ac:dyDescent="0.25">
      <c r="B166" s="406" t="s">
        <v>362</v>
      </c>
      <c r="C166" s="409" t="s">
        <v>363</v>
      </c>
      <c r="D166" s="67">
        <v>2017</v>
      </c>
      <c r="E166" s="66" t="s">
        <v>17</v>
      </c>
      <c r="F166" s="66" t="s">
        <v>17</v>
      </c>
      <c r="G166" s="66"/>
      <c r="H166" s="66"/>
      <c r="I166" s="66"/>
      <c r="J166" s="66">
        <v>2</v>
      </c>
      <c r="K166" s="487">
        <f>(SUM(J166:J168)/3)/5</f>
        <v>0.4</v>
      </c>
      <c r="L166" s="516" t="s">
        <v>356</v>
      </c>
      <c r="M166" s="513" t="s">
        <v>357</v>
      </c>
    </row>
    <row r="167" spans="2:13" s="58" customFormat="1" ht="15.75" customHeight="1" x14ac:dyDescent="0.25">
      <c r="B167" s="407"/>
      <c r="C167" s="410"/>
      <c r="D167" s="67">
        <v>2018</v>
      </c>
      <c r="E167" s="66" t="s">
        <v>17</v>
      </c>
      <c r="F167" s="66" t="s">
        <v>17</v>
      </c>
      <c r="G167" s="66"/>
      <c r="H167" s="66"/>
      <c r="I167" s="66"/>
      <c r="J167" s="66">
        <v>2</v>
      </c>
      <c r="K167" s="488"/>
      <c r="L167" s="517"/>
      <c r="M167" s="514"/>
    </row>
    <row r="168" spans="2:13" s="58" customFormat="1" ht="15.75" customHeight="1" x14ac:dyDescent="0.25">
      <c r="B168" s="408"/>
      <c r="C168" s="411"/>
      <c r="D168" s="67">
        <v>2019</v>
      </c>
      <c r="E168" s="66" t="s">
        <v>17</v>
      </c>
      <c r="F168" s="66" t="s">
        <v>17</v>
      </c>
      <c r="G168" s="66"/>
      <c r="H168" s="66"/>
      <c r="I168" s="66"/>
      <c r="J168" s="66">
        <v>2</v>
      </c>
      <c r="K168" s="504"/>
      <c r="L168" s="518"/>
      <c r="M168" s="515"/>
    </row>
    <row r="169" spans="2:13" s="58" customFormat="1" ht="15.75" customHeight="1" x14ac:dyDescent="0.25">
      <c r="B169" s="406" t="s">
        <v>366</v>
      </c>
      <c r="C169" s="409" t="s">
        <v>367</v>
      </c>
      <c r="D169" s="67">
        <v>2017</v>
      </c>
      <c r="E169" s="66"/>
      <c r="F169" s="66"/>
      <c r="G169" s="66"/>
      <c r="H169" s="66"/>
      <c r="I169" s="66"/>
      <c r="J169" s="66">
        <v>0</v>
      </c>
      <c r="K169" s="487">
        <f>(SUM(J169:J171)/3)/5</f>
        <v>0</v>
      </c>
      <c r="L169" s="516" t="s">
        <v>26</v>
      </c>
      <c r="M169" s="516" t="s">
        <v>26</v>
      </c>
    </row>
    <row r="170" spans="2:13" s="58" customFormat="1" ht="15.75" customHeight="1" x14ac:dyDescent="0.25">
      <c r="B170" s="407"/>
      <c r="C170" s="410"/>
      <c r="D170" s="67">
        <v>2018</v>
      </c>
      <c r="E170" s="66"/>
      <c r="F170" s="66"/>
      <c r="G170" s="66"/>
      <c r="H170" s="66"/>
      <c r="I170" s="66"/>
      <c r="J170" s="66">
        <v>0</v>
      </c>
      <c r="K170" s="488"/>
      <c r="L170" s="517"/>
      <c r="M170" s="517"/>
    </row>
    <row r="171" spans="2:13" s="58" customFormat="1" ht="15.75" customHeight="1" x14ac:dyDescent="0.25">
      <c r="B171" s="408"/>
      <c r="C171" s="411"/>
      <c r="D171" s="67">
        <v>2019</v>
      </c>
      <c r="E171" s="66"/>
      <c r="F171" s="66"/>
      <c r="G171" s="66"/>
      <c r="H171" s="66"/>
      <c r="I171" s="66"/>
      <c r="J171" s="66">
        <v>0</v>
      </c>
      <c r="K171" s="504"/>
      <c r="L171" s="518"/>
      <c r="M171" s="518"/>
    </row>
    <row r="172" spans="2:13" s="58" customFormat="1" ht="15.75" customHeight="1" x14ac:dyDescent="0.25">
      <c r="B172" s="406" t="s">
        <v>368</v>
      </c>
      <c r="C172" s="409" t="s">
        <v>369</v>
      </c>
      <c r="D172" s="67">
        <v>2017</v>
      </c>
      <c r="E172" s="66" t="s">
        <v>17</v>
      </c>
      <c r="F172" s="66"/>
      <c r="G172" s="66"/>
      <c r="H172" s="66"/>
      <c r="I172" s="66"/>
      <c r="J172" s="66">
        <v>1</v>
      </c>
      <c r="K172" s="487">
        <f>(SUM(J172:J174)/3)/5</f>
        <v>0.2</v>
      </c>
      <c r="L172" s="516" t="s">
        <v>370</v>
      </c>
      <c r="M172" s="513" t="s">
        <v>371</v>
      </c>
    </row>
    <row r="173" spans="2:13" s="58" customFormat="1" ht="15.75" customHeight="1" x14ac:dyDescent="0.25">
      <c r="B173" s="407"/>
      <c r="C173" s="410"/>
      <c r="D173" s="67">
        <v>2018</v>
      </c>
      <c r="E173" s="66" t="s">
        <v>17</v>
      </c>
      <c r="F173" s="66"/>
      <c r="G173" s="66"/>
      <c r="H173" s="66"/>
      <c r="I173" s="66"/>
      <c r="J173" s="66">
        <v>1</v>
      </c>
      <c r="K173" s="488"/>
      <c r="L173" s="517"/>
      <c r="M173" s="514"/>
    </row>
    <row r="174" spans="2:13" s="58" customFormat="1" ht="15.75" customHeight="1" x14ac:dyDescent="0.25">
      <c r="B174" s="408"/>
      <c r="C174" s="411"/>
      <c r="D174" s="67">
        <v>2019</v>
      </c>
      <c r="E174" s="66" t="s">
        <v>17</v>
      </c>
      <c r="F174" s="66"/>
      <c r="G174" s="66"/>
      <c r="H174" s="66"/>
      <c r="I174" s="66"/>
      <c r="J174" s="66">
        <v>1</v>
      </c>
      <c r="K174" s="504"/>
      <c r="L174" s="518"/>
      <c r="M174" s="515"/>
    </row>
    <row r="175" spans="2:13" s="58" customFormat="1" ht="15.75" customHeight="1" x14ac:dyDescent="0.25">
      <c r="B175" s="406" t="s">
        <v>372</v>
      </c>
      <c r="C175" s="409" t="s">
        <v>373</v>
      </c>
      <c r="D175" s="67">
        <v>2017</v>
      </c>
      <c r="E175" s="66" t="s">
        <v>17</v>
      </c>
      <c r="F175" s="66"/>
      <c r="G175" s="66"/>
      <c r="H175" s="66" t="s">
        <v>17</v>
      </c>
      <c r="I175" s="66"/>
      <c r="J175" s="66">
        <v>2</v>
      </c>
      <c r="K175" s="487">
        <f>(SUM(J175:J177)/3)/5</f>
        <v>0.4</v>
      </c>
      <c r="L175" s="516" t="s">
        <v>374</v>
      </c>
      <c r="M175" s="513" t="s">
        <v>97</v>
      </c>
    </row>
    <row r="176" spans="2:13" s="58" customFormat="1" ht="15.75" customHeight="1" x14ac:dyDescent="0.25">
      <c r="B176" s="407"/>
      <c r="C176" s="410"/>
      <c r="D176" s="67">
        <v>2018</v>
      </c>
      <c r="E176" s="66" t="s">
        <v>17</v>
      </c>
      <c r="F176" s="66"/>
      <c r="G176" s="66"/>
      <c r="H176" s="66" t="s">
        <v>17</v>
      </c>
      <c r="I176" s="66"/>
      <c r="J176" s="66">
        <v>2</v>
      </c>
      <c r="K176" s="488"/>
      <c r="L176" s="517"/>
      <c r="M176" s="514"/>
    </row>
    <row r="177" spans="2:13" s="58" customFormat="1" ht="15.75" customHeight="1" x14ac:dyDescent="0.25">
      <c r="B177" s="408"/>
      <c r="C177" s="411"/>
      <c r="D177" s="67">
        <v>2019</v>
      </c>
      <c r="E177" s="66" t="s">
        <v>17</v>
      </c>
      <c r="F177" s="66"/>
      <c r="G177" s="66"/>
      <c r="H177" s="66" t="s">
        <v>17</v>
      </c>
      <c r="I177" s="66"/>
      <c r="J177" s="66">
        <v>2</v>
      </c>
      <c r="K177" s="504"/>
      <c r="L177" s="518"/>
      <c r="M177" s="515"/>
    </row>
    <row r="178" spans="2:13" s="58" customFormat="1" ht="15.75" customHeight="1" x14ac:dyDescent="0.25">
      <c r="B178" s="406" t="s">
        <v>377</v>
      </c>
      <c r="C178" s="409" t="s">
        <v>378</v>
      </c>
      <c r="D178" s="67">
        <v>2017</v>
      </c>
      <c r="E178" s="66" t="s">
        <v>17</v>
      </c>
      <c r="F178" s="66"/>
      <c r="G178" s="66"/>
      <c r="H178" s="66"/>
      <c r="I178" s="66"/>
      <c r="J178" s="66">
        <v>1</v>
      </c>
      <c r="K178" s="487">
        <f>(SUM(J178:J180)/3)/5</f>
        <v>0.2</v>
      </c>
      <c r="L178" s="516" t="s">
        <v>379</v>
      </c>
      <c r="M178" s="516" t="s">
        <v>380</v>
      </c>
    </row>
    <row r="179" spans="2:13" s="58" customFormat="1" ht="15.75" customHeight="1" x14ac:dyDescent="0.25">
      <c r="B179" s="407"/>
      <c r="C179" s="410"/>
      <c r="D179" s="67">
        <v>2018</v>
      </c>
      <c r="E179" s="66" t="s">
        <v>17</v>
      </c>
      <c r="F179" s="66"/>
      <c r="G179" s="66"/>
      <c r="H179" s="66"/>
      <c r="I179" s="66"/>
      <c r="J179" s="66">
        <v>1</v>
      </c>
      <c r="K179" s="488"/>
      <c r="L179" s="517"/>
      <c r="M179" s="517"/>
    </row>
    <row r="180" spans="2:13" s="58" customFormat="1" ht="15.75" customHeight="1" x14ac:dyDescent="0.25">
      <c r="B180" s="408"/>
      <c r="C180" s="411"/>
      <c r="D180" s="67">
        <v>2019</v>
      </c>
      <c r="E180" s="66" t="s">
        <v>17</v>
      </c>
      <c r="F180" s="66"/>
      <c r="G180" s="66"/>
      <c r="H180" s="66"/>
      <c r="I180" s="66"/>
      <c r="J180" s="66">
        <v>1</v>
      </c>
      <c r="K180" s="504"/>
      <c r="L180" s="518"/>
      <c r="M180" s="518"/>
    </row>
    <row r="181" spans="2:13" s="58" customFormat="1" ht="15.75" customHeight="1" x14ac:dyDescent="0.25">
      <c r="B181" s="406" t="s">
        <v>381</v>
      </c>
      <c r="C181" s="409" t="s">
        <v>382</v>
      </c>
      <c r="D181" s="67">
        <v>2017</v>
      </c>
      <c r="E181" s="66"/>
      <c r="F181" s="66" t="s">
        <v>17</v>
      </c>
      <c r="G181" s="66"/>
      <c r="H181" s="66"/>
      <c r="I181" s="66"/>
      <c r="J181" s="66">
        <v>1</v>
      </c>
      <c r="K181" s="487">
        <f>(SUM(J181:J183)/3)/5</f>
        <v>0.2</v>
      </c>
      <c r="L181" s="516" t="s">
        <v>383</v>
      </c>
      <c r="M181" s="513" t="s">
        <v>371</v>
      </c>
    </row>
    <row r="182" spans="2:13" s="58" customFormat="1" ht="15.75" customHeight="1" x14ac:dyDescent="0.25">
      <c r="B182" s="407"/>
      <c r="C182" s="410"/>
      <c r="D182" s="67">
        <v>2018</v>
      </c>
      <c r="E182" s="66"/>
      <c r="F182" s="66" t="s">
        <v>17</v>
      </c>
      <c r="G182" s="66"/>
      <c r="H182" s="66"/>
      <c r="I182" s="66"/>
      <c r="J182" s="66">
        <v>1</v>
      </c>
      <c r="K182" s="488"/>
      <c r="L182" s="517"/>
      <c r="M182" s="514"/>
    </row>
    <row r="183" spans="2:13" s="58" customFormat="1" ht="15.75" customHeight="1" x14ac:dyDescent="0.25">
      <c r="B183" s="408"/>
      <c r="C183" s="411"/>
      <c r="D183" s="67">
        <v>2019</v>
      </c>
      <c r="E183" s="66"/>
      <c r="F183" s="66" t="s">
        <v>17</v>
      </c>
      <c r="G183" s="66"/>
      <c r="H183" s="66"/>
      <c r="I183" s="66"/>
      <c r="J183" s="66">
        <v>1</v>
      </c>
      <c r="K183" s="504"/>
      <c r="L183" s="518"/>
      <c r="M183" s="515"/>
    </row>
    <row r="184" spans="2:13" s="58" customFormat="1" ht="15.75" customHeight="1" x14ac:dyDescent="0.25">
      <c r="B184" s="406" t="s">
        <v>384</v>
      </c>
      <c r="C184" s="409" t="s">
        <v>385</v>
      </c>
      <c r="D184" s="67">
        <v>2017</v>
      </c>
      <c r="E184" s="66" t="s">
        <v>17</v>
      </c>
      <c r="F184" s="66"/>
      <c r="G184" s="66"/>
      <c r="H184" s="66"/>
      <c r="I184" s="66"/>
      <c r="J184" s="66">
        <v>1</v>
      </c>
      <c r="K184" s="487">
        <f>(SUM(J184:J186)/3)/5</f>
        <v>0.2</v>
      </c>
      <c r="L184" s="516" t="s">
        <v>386</v>
      </c>
      <c r="M184" s="513" t="s">
        <v>371</v>
      </c>
    </row>
    <row r="185" spans="2:13" s="58" customFormat="1" ht="15.75" customHeight="1" x14ac:dyDescent="0.25">
      <c r="B185" s="407"/>
      <c r="C185" s="410"/>
      <c r="D185" s="67">
        <v>2018</v>
      </c>
      <c r="E185" s="66" t="s">
        <v>17</v>
      </c>
      <c r="F185" s="66"/>
      <c r="G185" s="66"/>
      <c r="H185" s="66"/>
      <c r="I185" s="66"/>
      <c r="J185" s="66">
        <v>1</v>
      </c>
      <c r="K185" s="488"/>
      <c r="L185" s="517"/>
      <c r="M185" s="514"/>
    </row>
    <row r="186" spans="2:13" s="58" customFormat="1" ht="15.75" customHeight="1" x14ac:dyDescent="0.25">
      <c r="B186" s="408"/>
      <c r="C186" s="411"/>
      <c r="D186" s="67">
        <v>2019</v>
      </c>
      <c r="E186" s="66" t="s">
        <v>17</v>
      </c>
      <c r="F186" s="66"/>
      <c r="G186" s="66"/>
      <c r="H186" s="66"/>
      <c r="I186" s="66"/>
      <c r="J186" s="66">
        <v>1</v>
      </c>
      <c r="K186" s="504"/>
      <c r="L186" s="518"/>
      <c r="M186" s="515"/>
    </row>
    <row r="187" spans="2:13" s="58" customFormat="1" ht="15.75" customHeight="1" x14ac:dyDescent="0.25">
      <c r="B187" s="406" t="s">
        <v>387</v>
      </c>
      <c r="C187" s="409" t="s">
        <v>388</v>
      </c>
      <c r="D187" s="67">
        <v>2017</v>
      </c>
      <c r="E187" s="66" t="s">
        <v>17</v>
      </c>
      <c r="F187" s="66" t="s">
        <v>17</v>
      </c>
      <c r="G187" s="66"/>
      <c r="H187" s="66"/>
      <c r="I187" s="66"/>
      <c r="J187" s="66">
        <v>2</v>
      </c>
      <c r="K187" s="487">
        <f>(SUM(J187:J189)/3)/5</f>
        <v>0.4</v>
      </c>
      <c r="L187" s="516" t="s">
        <v>389</v>
      </c>
      <c r="M187" s="513" t="s">
        <v>390</v>
      </c>
    </row>
    <row r="188" spans="2:13" s="58" customFormat="1" ht="15.75" customHeight="1" x14ac:dyDescent="0.25">
      <c r="B188" s="407"/>
      <c r="C188" s="410"/>
      <c r="D188" s="67">
        <v>2018</v>
      </c>
      <c r="E188" s="66" t="s">
        <v>17</v>
      </c>
      <c r="F188" s="66" t="s">
        <v>17</v>
      </c>
      <c r="G188" s="66"/>
      <c r="H188" s="66"/>
      <c r="I188" s="66"/>
      <c r="J188" s="66">
        <v>2</v>
      </c>
      <c r="K188" s="488"/>
      <c r="L188" s="517"/>
      <c r="M188" s="514"/>
    </row>
    <row r="189" spans="2:13" s="58" customFormat="1" ht="15.75" customHeight="1" x14ac:dyDescent="0.25">
      <c r="B189" s="408"/>
      <c r="C189" s="411"/>
      <c r="D189" s="67">
        <v>2019</v>
      </c>
      <c r="E189" s="66" t="s">
        <v>17</v>
      </c>
      <c r="F189" s="66" t="s">
        <v>17</v>
      </c>
      <c r="G189" s="66"/>
      <c r="H189" s="66"/>
      <c r="I189" s="66"/>
      <c r="J189" s="66">
        <v>2</v>
      </c>
      <c r="K189" s="504"/>
      <c r="L189" s="518"/>
      <c r="M189" s="515"/>
    </row>
    <row r="190" spans="2:13" s="58" customFormat="1" ht="15.75" customHeight="1" x14ac:dyDescent="0.25">
      <c r="B190" s="406" t="s">
        <v>391</v>
      </c>
      <c r="C190" s="409" t="s">
        <v>392</v>
      </c>
      <c r="D190" s="67">
        <v>2017</v>
      </c>
      <c r="E190" s="66" t="s">
        <v>17</v>
      </c>
      <c r="F190" s="66"/>
      <c r="G190" s="66"/>
      <c r="H190" s="66"/>
      <c r="I190" s="66"/>
      <c r="J190" s="66">
        <v>1</v>
      </c>
      <c r="K190" s="487">
        <f>(SUM(J190:J192)/3)/5</f>
        <v>0.2</v>
      </c>
      <c r="L190" s="516" t="s">
        <v>393</v>
      </c>
      <c r="M190" s="513" t="s">
        <v>394</v>
      </c>
    </row>
    <row r="191" spans="2:13" s="58" customFormat="1" ht="15.75" customHeight="1" x14ac:dyDescent="0.25">
      <c r="B191" s="407"/>
      <c r="C191" s="410"/>
      <c r="D191" s="67">
        <v>2018</v>
      </c>
      <c r="E191" s="66" t="s">
        <v>17</v>
      </c>
      <c r="F191" s="66"/>
      <c r="G191" s="66"/>
      <c r="H191" s="66"/>
      <c r="I191" s="66"/>
      <c r="J191" s="66">
        <v>1</v>
      </c>
      <c r="K191" s="488"/>
      <c r="L191" s="517"/>
      <c r="M191" s="514"/>
    </row>
    <row r="192" spans="2:13" s="58" customFormat="1" ht="15.75" customHeight="1" x14ac:dyDescent="0.25">
      <c r="B192" s="408"/>
      <c r="C192" s="411"/>
      <c r="D192" s="67">
        <v>2019</v>
      </c>
      <c r="E192" s="66" t="s">
        <v>17</v>
      </c>
      <c r="F192" s="66"/>
      <c r="G192" s="66"/>
      <c r="H192" s="66"/>
      <c r="I192" s="66"/>
      <c r="J192" s="66">
        <v>1</v>
      </c>
      <c r="K192" s="504"/>
      <c r="L192" s="518"/>
      <c r="M192" s="515"/>
    </row>
    <row r="193" spans="2:13" s="58" customFormat="1" ht="15.75" customHeight="1" x14ac:dyDescent="0.25">
      <c r="B193" s="406" t="s">
        <v>397</v>
      </c>
      <c r="C193" s="409" t="s">
        <v>398</v>
      </c>
      <c r="D193" s="67">
        <v>2017</v>
      </c>
      <c r="E193" s="66" t="s">
        <v>17</v>
      </c>
      <c r="F193" s="66" t="s">
        <v>17</v>
      </c>
      <c r="G193" s="66"/>
      <c r="H193" s="66"/>
      <c r="I193" s="66"/>
      <c r="J193" s="66">
        <v>2</v>
      </c>
      <c r="K193" s="487">
        <f>(SUM(J193:J195)/3)/5</f>
        <v>0.4</v>
      </c>
      <c r="L193" s="516" t="s">
        <v>399</v>
      </c>
      <c r="M193" s="513" t="s">
        <v>280</v>
      </c>
    </row>
    <row r="194" spans="2:13" s="58" customFormat="1" ht="15.75" customHeight="1" x14ac:dyDescent="0.25">
      <c r="B194" s="407"/>
      <c r="C194" s="410"/>
      <c r="D194" s="67">
        <v>2018</v>
      </c>
      <c r="E194" s="66" t="s">
        <v>17</v>
      </c>
      <c r="F194" s="66" t="s">
        <v>17</v>
      </c>
      <c r="G194" s="66"/>
      <c r="H194" s="66"/>
      <c r="I194" s="66"/>
      <c r="J194" s="66">
        <v>2</v>
      </c>
      <c r="K194" s="488"/>
      <c r="L194" s="517"/>
      <c r="M194" s="514"/>
    </row>
    <row r="195" spans="2:13" s="58" customFormat="1" ht="15.75" customHeight="1" x14ac:dyDescent="0.25">
      <c r="B195" s="408"/>
      <c r="C195" s="411"/>
      <c r="D195" s="67">
        <v>2019</v>
      </c>
      <c r="E195" s="66" t="s">
        <v>17</v>
      </c>
      <c r="F195" s="66" t="s">
        <v>17</v>
      </c>
      <c r="G195" s="66"/>
      <c r="H195" s="66"/>
      <c r="I195" s="66"/>
      <c r="J195" s="66">
        <v>2</v>
      </c>
      <c r="K195" s="504"/>
      <c r="L195" s="518"/>
      <c r="M195" s="515"/>
    </row>
    <row r="196" spans="2:13" ht="15.75" customHeight="1" x14ac:dyDescent="0.25">
      <c r="B196" s="381" t="s">
        <v>402</v>
      </c>
      <c r="C196" s="378" t="s">
        <v>403</v>
      </c>
      <c r="D196" s="50">
        <v>2017</v>
      </c>
      <c r="E196" s="4" t="s">
        <v>17</v>
      </c>
      <c r="F196" s="4" t="s">
        <v>17</v>
      </c>
      <c r="G196" s="4" t="s">
        <v>17</v>
      </c>
      <c r="H196" s="4" t="s">
        <v>17</v>
      </c>
      <c r="I196" s="4"/>
      <c r="J196" s="4">
        <v>4</v>
      </c>
      <c r="K196" s="487">
        <f>(SUM(J196:J198)/3)/5</f>
        <v>0.8</v>
      </c>
      <c r="L196" s="511" t="s">
        <v>404</v>
      </c>
      <c r="M196" s="511" t="s">
        <v>405</v>
      </c>
    </row>
    <row r="197" spans="2:13" ht="15.75" customHeight="1" x14ac:dyDescent="0.25">
      <c r="B197" s="382"/>
      <c r="C197" s="379"/>
      <c r="D197" s="50">
        <v>2018</v>
      </c>
      <c r="E197" s="4" t="s">
        <v>17</v>
      </c>
      <c r="F197" s="4" t="s">
        <v>17</v>
      </c>
      <c r="G197" s="4" t="s">
        <v>17</v>
      </c>
      <c r="H197" s="4" t="s">
        <v>17</v>
      </c>
      <c r="I197" s="4"/>
      <c r="J197" s="4">
        <v>4</v>
      </c>
      <c r="K197" s="488"/>
      <c r="L197" s="512"/>
      <c r="M197" s="512"/>
    </row>
    <row r="198" spans="2:13" ht="15.75" customHeight="1" x14ac:dyDescent="0.25">
      <c r="B198" s="383"/>
      <c r="C198" s="380"/>
      <c r="D198" s="50">
        <v>2019</v>
      </c>
      <c r="E198" s="4" t="s">
        <v>17</v>
      </c>
      <c r="F198" s="4" t="s">
        <v>17</v>
      </c>
      <c r="G198" s="4" t="s">
        <v>17</v>
      </c>
      <c r="H198" s="4" t="s">
        <v>17</v>
      </c>
      <c r="I198" s="4"/>
      <c r="J198" s="4">
        <v>4</v>
      </c>
      <c r="K198" s="504"/>
      <c r="L198" s="551"/>
      <c r="M198" s="551"/>
    </row>
    <row r="199" spans="2:13" ht="15.75" customHeight="1" x14ac:dyDescent="0.25">
      <c r="B199" s="381" t="s">
        <v>412</v>
      </c>
      <c r="C199" s="378" t="s">
        <v>413</v>
      </c>
      <c r="D199" s="50">
        <v>2017</v>
      </c>
      <c r="E199" s="4" t="s">
        <v>17</v>
      </c>
      <c r="F199" s="4"/>
      <c r="G199" s="4"/>
      <c r="H199" s="4"/>
      <c r="I199" s="4"/>
      <c r="J199" s="4">
        <v>1</v>
      </c>
      <c r="K199" s="487">
        <f>(SUM(J199:J201)/3)/5</f>
        <v>0.2</v>
      </c>
      <c r="L199" s="511" t="s">
        <v>414</v>
      </c>
      <c r="M199" s="508" t="s">
        <v>371</v>
      </c>
    </row>
    <row r="200" spans="2:13" ht="15.75" customHeight="1" x14ac:dyDescent="0.25">
      <c r="B200" s="382"/>
      <c r="C200" s="379"/>
      <c r="D200" s="50">
        <v>2018</v>
      </c>
      <c r="E200" s="4" t="s">
        <v>17</v>
      </c>
      <c r="F200" s="4"/>
      <c r="G200" s="4"/>
      <c r="H200" s="4"/>
      <c r="I200" s="4"/>
      <c r="J200" s="4">
        <v>1</v>
      </c>
      <c r="K200" s="488"/>
      <c r="L200" s="512"/>
      <c r="M200" s="509"/>
    </row>
    <row r="201" spans="2:13" ht="15.75" customHeight="1" x14ac:dyDescent="0.25">
      <c r="B201" s="383"/>
      <c r="C201" s="380"/>
      <c r="D201" s="50">
        <v>2019</v>
      </c>
      <c r="E201" s="4" t="s">
        <v>17</v>
      </c>
      <c r="F201" s="4"/>
      <c r="G201" s="4"/>
      <c r="H201" s="4"/>
      <c r="I201" s="4"/>
      <c r="J201" s="4">
        <v>1</v>
      </c>
      <c r="K201" s="504"/>
      <c r="L201" s="551"/>
      <c r="M201" s="510"/>
    </row>
    <row r="202" spans="2:13" ht="15.75" customHeight="1" x14ac:dyDescent="0.25">
      <c r="B202" s="381" t="s">
        <v>419</v>
      </c>
      <c r="C202" s="378" t="s">
        <v>420</v>
      </c>
      <c r="D202" s="50">
        <v>2017</v>
      </c>
      <c r="E202" s="4" t="s">
        <v>17</v>
      </c>
      <c r="F202" s="4"/>
      <c r="G202" s="4"/>
      <c r="H202" s="4"/>
      <c r="I202" s="4" t="s">
        <v>17</v>
      </c>
      <c r="J202" s="4">
        <v>2</v>
      </c>
      <c r="K202" s="487">
        <f>(SUM(J202:J204)/3)/5</f>
        <v>0.4</v>
      </c>
      <c r="L202" s="552" t="s">
        <v>421</v>
      </c>
      <c r="M202" s="508" t="s">
        <v>371</v>
      </c>
    </row>
    <row r="203" spans="2:13" ht="15.75" customHeight="1" x14ac:dyDescent="0.25">
      <c r="B203" s="382"/>
      <c r="C203" s="379"/>
      <c r="D203" s="50">
        <v>2018</v>
      </c>
      <c r="E203" s="4" t="s">
        <v>17</v>
      </c>
      <c r="F203" s="4"/>
      <c r="G203" s="4"/>
      <c r="H203" s="4"/>
      <c r="I203" s="4" t="s">
        <v>17</v>
      </c>
      <c r="J203" s="4">
        <v>2</v>
      </c>
      <c r="K203" s="488"/>
      <c r="L203" s="553"/>
      <c r="M203" s="509"/>
    </row>
    <row r="204" spans="2:13" ht="15.75" customHeight="1" x14ac:dyDescent="0.25">
      <c r="B204" s="383"/>
      <c r="C204" s="380"/>
      <c r="D204" s="50">
        <v>2019</v>
      </c>
      <c r="E204" s="4" t="s">
        <v>17</v>
      </c>
      <c r="F204" s="4"/>
      <c r="G204" s="4"/>
      <c r="H204" s="4"/>
      <c r="I204" s="4" t="s">
        <v>17</v>
      </c>
      <c r="J204" s="4">
        <v>2</v>
      </c>
      <c r="K204" s="504"/>
      <c r="L204" s="554"/>
      <c r="M204" s="510"/>
    </row>
    <row r="205" spans="2:13" ht="15.75" customHeight="1" x14ac:dyDescent="0.25">
      <c r="B205" s="381" t="s">
        <v>423</v>
      </c>
      <c r="C205" s="378" t="s">
        <v>424</v>
      </c>
      <c r="D205" s="50">
        <v>2017</v>
      </c>
      <c r="E205" s="4" t="s">
        <v>17</v>
      </c>
      <c r="F205" s="4"/>
      <c r="G205" s="4"/>
      <c r="H205" s="4"/>
      <c r="I205" s="4"/>
      <c r="J205" s="4">
        <v>1</v>
      </c>
      <c r="K205" s="487">
        <f>(SUM(J205:J207)/3)/5</f>
        <v>0.2</v>
      </c>
      <c r="L205" s="505" t="s">
        <v>425</v>
      </c>
      <c r="M205" s="508" t="s">
        <v>426</v>
      </c>
    </row>
    <row r="206" spans="2:13" ht="15.75" customHeight="1" x14ac:dyDescent="0.25">
      <c r="B206" s="382"/>
      <c r="C206" s="379"/>
      <c r="D206" s="50">
        <v>2018</v>
      </c>
      <c r="E206" s="4" t="s">
        <v>17</v>
      </c>
      <c r="F206" s="4"/>
      <c r="G206" s="4"/>
      <c r="H206" s="4"/>
      <c r="I206" s="4"/>
      <c r="J206" s="4">
        <v>1</v>
      </c>
      <c r="K206" s="488"/>
      <c r="L206" s="506"/>
      <c r="M206" s="509"/>
    </row>
    <row r="207" spans="2:13" ht="15.75" customHeight="1" x14ac:dyDescent="0.25">
      <c r="B207" s="383"/>
      <c r="C207" s="380"/>
      <c r="D207" s="50">
        <v>2019</v>
      </c>
      <c r="E207" s="4" t="s">
        <v>17</v>
      </c>
      <c r="F207" s="4"/>
      <c r="G207" s="4"/>
      <c r="H207" s="4"/>
      <c r="I207" s="4"/>
      <c r="J207" s="4">
        <v>1</v>
      </c>
      <c r="K207" s="504"/>
      <c r="L207" s="507"/>
      <c r="M207" s="510"/>
    </row>
    <row r="208" spans="2:13" ht="15.75" customHeight="1" x14ac:dyDescent="0.25">
      <c r="B208" s="381" t="s">
        <v>427</v>
      </c>
      <c r="C208" s="378" t="s">
        <v>428</v>
      </c>
      <c r="D208" s="50">
        <v>2017</v>
      </c>
      <c r="E208" s="4" t="s">
        <v>17</v>
      </c>
      <c r="F208" s="4" t="s">
        <v>17</v>
      </c>
      <c r="G208" s="4"/>
      <c r="H208" s="4"/>
      <c r="I208" s="4" t="s">
        <v>17</v>
      </c>
      <c r="J208" s="4">
        <v>3</v>
      </c>
      <c r="K208" s="487">
        <f>(SUM(J208:J210)/3)/5</f>
        <v>0.6</v>
      </c>
      <c r="L208" s="505" t="s">
        <v>429</v>
      </c>
      <c r="M208" s="511" t="s">
        <v>430</v>
      </c>
    </row>
    <row r="209" spans="2:13" ht="15.75" customHeight="1" x14ac:dyDescent="0.25">
      <c r="B209" s="382"/>
      <c r="C209" s="379"/>
      <c r="D209" s="50">
        <v>2018</v>
      </c>
      <c r="E209" s="4" t="s">
        <v>17</v>
      </c>
      <c r="F209" s="4" t="s">
        <v>17</v>
      </c>
      <c r="G209" s="4"/>
      <c r="H209" s="4"/>
      <c r="I209" s="4" t="s">
        <v>17</v>
      </c>
      <c r="J209" s="4">
        <v>3</v>
      </c>
      <c r="K209" s="488"/>
      <c r="L209" s="506"/>
      <c r="M209" s="512"/>
    </row>
    <row r="210" spans="2:13" ht="15.75" customHeight="1" x14ac:dyDescent="0.25">
      <c r="B210" s="382"/>
      <c r="C210" s="379"/>
      <c r="D210" s="171">
        <v>2019</v>
      </c>
      <c r="E210" s="178" t="s">
        <v>17</v>
      </c>
      <c r="F210" s="178" t="s">
        <v>17</v>
      </c>
      <c r="G210" s="178"/>
      <c r="H210" s="178"/>
      <c r="I210" s="178" t="s">
        <v>17</v>
      </c>
      <c r="J210" s="4">
        <v>3</v>
      </c>
      <c r="K210" s="504"/>
      <c r="L210" s="506"/>
      <c r="M210" s="512"/>
    </row>
    <row r="211" spans="2:13" ht="15.75" customHeight="1" x14ac:dyDescent="0.25">
      <c r="B211" s="440" t="s">
        <v>433</v>
      </c>
      <c r="C211" s="439" t="s">
        <v>434</v>
      </c>
      <c r="D211" s="165">
        <v>2017</v>
      </c>
      <c r="E211" s="165"/>
      <c r="F211" s="165"/>
      <c r="G211" s="165" t="s">
        <v>17</v>
      </c>
      <c r="H211" s="165" t="s">
        <v>17</v>
      </c>
      <c r="I211" s="165"/>
      <c r="J211" s="165">
        <v>2</v>
      </c>
      <c r="K211" s="487">
        <f>(SUM(J211:J213)/3)/5</f>
        <v>0.4</v>
      </c>
      <c r="L211" s="489" t="s">
        <v>439</v>
      </c>
      <c r="M211" s="381" t="s">
        <v>438</v>
      </c>
    </row>
    <row r="212" spans="2:13" ht="15.75" customHeight="1" x14ac:dyDescent="0.25">
      <c r="B212" s="440"/>
      <c r="C212" s="439"/>
      <c r="D212" s="165">
        <v>2018</v>
      </c>
      <c r="E212" s="165"/>
      <c r="F212" s="165"/>
      <c r="G212" s="165" t="s">
        <v>17</v>
      </c>
      <c r="H212" s="165" t="s">
        <v>17</v>
      </c>
      <c r="I212" s="165"/>
      <c r="J212" s="165">
        <v>2</v>
      </c>
      <c r="K212" s="488"/>
      <c r="L212" s="490"/>
      <c r="M212" s="382"/>
    </row>
    <row r="213" spans="2:13" ht="15.75" customHeight="1" x14ac:dyDescent="0.25">
      <c r="B213" s="440"/>
      <c r="C213" s="439"/>
      <c r="D213" s="165">
        <v>2019</v>
      </c>
      <c r="E213" s="165"/>
      <c r="F213" s="165"/>
      <c r="G213" s="165" t="s">
        <v>17</v>
      </c>
      <c r="H213" s="165" t="s">
        <v>17</v>
      </c>
      <c r="I213" s="165"/>
      <c r="J213" s="165">
        <v>2</v>
      </c>
      <c r="K213" s="504"/>
      <c r="L213" s="491"/>
      <c r="M213" s="383"/>
    </row>
    <row r="214" spans="2:13" ht="15.75" customHeight="1" x14ac:dyDescent="0.25">
      <c r="B214" s="381" t="s">
        <v>444</v>
      </c>
      <c r="C214" s="378" t="s">
        <v>445</v>
      </c>
      <c r="D214" s="50">
        <v>2017</v>
      </c>
      <c r="E214" s="165"/>
      <c r="F214" s="165"/>
      <c r="G214" s="165"/>
      <c r="H214" s="165"/>
      <c r="I214" s="165"/>
      <c r="J214" s="165">
        <v>0</v>
      </c>
      <c r="K214" s="487">
        <f>(SUM(J214:J216)/3)/5</f>
        <v>6.6666666666666666E-2</v>
      </c>
      <c r="L214" s="489" t="s">
        <v>446</v>
      </c>
      <c r="M214" s="381" t="s">
        <v>280</v>
      </c>
    </row>
    <row r="215" spans="2:13" ht="15.75" customHeight="1" x14ac:dyDescent="0.25">
      <c r="B215" s="382"/>
      <c r="C215" s="379"/>
      <c r="D215" s="50">
        <v>2018</v>
      </c>
      <c r="E215" s="165"/>
      <c r="F215" s="165"/>
      <c r="G215" s="165"/>
      <c r="H215" s="165"/>
      <c r="I215" s="165"/>
      <c r="J215" s="165">
        <v>0</v>
      </c>
      <c r="K215" s="488"/>
      <c r="L215" s="490"/>
      <c r="M215" s="382"/>
    </row>
    <row r="216" spans="2:13" ht="15.75" customHeight="1" x14ac:dyDescent="0.25">
      <c r="B216" s="383"/>
      <c r="C216" s="380"/>
      <c r="D216" s="50">
        <v>2019</v>
      </c>
      <c r="E216" s="165" t="s">
        <v>17</v>
      </c>
      <c r="F216" s="165"/>
      <c r="G216" s="165"/>
      <c r="H216" s="165"/>
      <c r="I216" s="165"/>
      <c r="J216" s="165">
        <v>1</v>
      </c>
      <c r="K216" s="504"/>
      <c r="L216" s="491"/>
      <c r="M216" s="383"/>
    </row>
    <row r="217" spans="2:13" ht="15.75" customHeight="1" x14ac:dyDescent="0.25">
      <c r="B217" s="440" t="s">
        <v>451</v>
      </c>
      <c r="C217" s="439" t="s">
        <v>452</v>
      </c>
      <c r="D217" s="165">
        <v>2017</v>
      </c>
      <c r="E217" s="165" t="s">
        <v>17</v>
      </c>
      <c r="F217" s="165" t="s">
        <v>17</v>
      </c>
      <c r="G217" s="165"/>
      <c r="H217" s="165"/>
      <c r="I217" s="165"/>
      <c r="J217" s="165">
        <v>2</v>
      </c>
      <c r="K217" s="487">
        <f>(SUM(J217:J219)/3)/5</f>
        <v>0.4</v>
      </c>
      <c r="L217" s="489" t="s">
        <v>453</v>
      </c>
      <c r="M217" s="378" t="s">
        <v>454</v>
      </c>
    </row>
    <row r="218" spans="2:13" ht="15.75" customHeight="1" x14ac:dyDescent="0.25">
      <c r="B218" s="440"/>
      <c r="C218" s="439"/>
      <c r="D218" s="165">
        <v>2018</v>
      </c>
      <c r="E218" s="165" t="s">
        <v>17</v>
      </c>
      <c r="F218" s="165" t="s">
        <v>17</v>
      </c>
      <c r="G218" s="165"/>
      <c r="H218" s="165"/>
      <c r="I218" s="165"/>
      <c r="J218" s="165">
        <v>2</v>
      </c>
      <c r="K218" s="488"/>
      <c r="L218" s="490"/>
      <c r="M218" s="379"/>
    </row>
    <row r="219" spans="2:13" ht="15.75" customHeight="1" x14ac:dyDescent="0.25">
      <c r="B219" s="440"/>
      <c r="C219" s="439"/>
      <c r="D219" s="165">
        <v>2019</v>
      </c>
      <c r="E219" s="165" t="s">
        <v>17</v>
      </c>
      <c r="F219" s="165" t="s">
        <v>17</v>
      </c>
      <c r="G219" s="165"/>
      <c r="H219" s="165"/>
      <c r="I219" s="165"/>
      <c r="J219" s="165">
        <v>2</v>
      </c>
      <c r="K219" s="504"/>
      <c r="L219" s="491"/>
      <c r="M219" s="380"/>
    </row>
    <row r="220" spans="2:13" ht="15.75" customHeight="1" x14ac:dyDescent="0.25">
      <c r="B220" s="381" t="s">
        <v>455</v>
      </c>
      <c r="C220" s="378" t="s">
        <v>456</v>
      </c>
      <c r="D220" s="165">
        <v>2017</v>
      </c>
      <c r="E220" s="165" t="s">
        <v>17</v>
      </c>
      <c r="F220" s="165" t="s">
        <v>17</v>
      </c>
      <c r="G220" s="165" t="s">
        <v>17</v>
      </c>
      <c r="H220" s="165" t="s">
        <v>17</v>
      </c>
      <c r="I220" s="165"/>
      <c r="J220" s="165">
        <v>4</v>
      </c>
      <c r="K220" s="487">
        <f>(SUM(J220:J222)/3)/5</f>
        <v>0.8</v>
      </c>
      <c r="L220" s="378" t="s">
        <v>457</v>
      </c>
      <c r="M220" s="378" t="s">
        <v>458</v>
      </c>
    </row>
    <row r="221" spans="2:13" ht="15.75" customHeight="1" x14ac:dyDescent="0.25">
      <c r="B221" s="382"/>
      <c r="C221" s="379"/>
      <c r="D221" s="165">
        <v>2018</v>
      </c>
      <c r="E221" s="165" t="s">
        <v>17</v>
      </c>
      <c r="F221" s="165" t="s">
        <v>17</v>
      </c>
      <c r="G221" s="165" t="s">
        <v>17</v>
      </c>
      <c r="H221" s="165" t="s">
        <v>17</v>
      </c>
      <c r="I221" s="165"/>
      <c r="J221" s="165">
        <v>4</v>
      </c>
      <c r="K221" s="488"/>
      <c r="L221" s="379"/>
      <c r="M221" s="379"/>
    </row>
    <row r="222" spans="2:13" ht="15.75" customHeight="1" x14ac:dyDescent="0.25">
      <c r="B222" s="383"/>
      <c r="C222" s="380"/>
      <c r="D222" s="165">
        <v>2019</v>
      </c>
      <c r="E222" s="165" t="s">
        <v>17</v>
      </c>
      <c r="F222" s="165" t="s">
        <v>17</v>
      </c>
      <c r="G222" s="165" t="s">
        <v>17</v>
      </c>
      <c r="H222" s="165" t="s">
        <v>17</v>
      </c>
      <c r="I222" s="165"/>
      <c r="J222" s="165">
        <v>4</v>
      </c>
      <c r="K222" s="504"/>
      <c r="L222" s="380"/>
      <c r="M222" s="380"/>
    </row>
    <row r="223" spans="2:13" ht="15.75" customHeight="1" x14ac:dyDescent="0.25">
      <c r="B223" s="381" t="s">
        <v>459</v>
      </c>
      <c r="C223" s="378" t="s">
        <v>460</v>
      </c>
      <c r="D223" s="165">
        <v>2017</v>
      </c>
      <c r="E223" s="165" t="s">
        <v>17</v>
      </c>
      <c r="F223" s="165"/>
      <c r="G223" s="165"/>
      <c r="H223" s="165"/>
      <c r="I223" s="165"/>
      <c r="J223" s="165">
        <v>1</v>
      </c>
      <c r="K223" s="487">
        <f>(SUM(J223:J225)/3)/5</f>
        <v>0.2</v>
      </c>
      <c r="L223" s="489" t="s">
        <v>461</v>
      </c>
      <c r="M223" s="381" t="s">
        <v>462</v>
      </c>
    </row>
    <row r="224" spans="2:13" ht="15.75" customHeight="1" x14ac:dyDescent="0.25">
      <c r="B224" s="382"/>
      <c r="C224" s="379"/>
      <c r="D224" s="165">
        <v>2018</v>
      </c>
      <c r="E224" s="165" t="s">
        <v>17</v>
      </c>
      <c r="F224" s="165"/>
      <c r="G224" s="165"/>
      <c r="H224" s="165"/>
      <c r="I224" s="165"/>
      <c r="J224" s="165">
        <v>1</v>
      </c>
      <c r="K224" s="488"/>
      <c r="L224" s="490"/>
      <c r="M224" s="382"/>
    </row>
    <row r="225" spans="2:13" ht="15.75" customHeight="1" x14ac:dyDescent="0.25">
      <c r="B225" s="383"/>
      <c r="C225" s="380"/>
      <c r="D225" s="165">
        <v>2019</v>
      </c>
      <c r="E225" s="165" t="s">
        <v>17</v>
      </c>
      <c r="F225" s="165"/>
      <c r="G225" s="165"/>
      <c r="H225" s="165"/>
      <c r="I225" s="165"/>
      <c r="J225" s="165">
        <v>1</v>
      </c>
      <c r="K225" s="504"/>
      <c r="L225" s="491"/>
      <c r="M225" s="383"/>
    </row>
    <row r="226" spans="2:13" ht="15.75" customHeight="1" x14ac:dyDescent="0.25">
      <c r="B226" s="381" t="s">
        <v>465</v>
      </c>
      <c r="C226" s="378" t="s">
        <v>466</v>
      </c>
      <c r="D226" s="165">
        <v>2017</v>
      </c>
      <c r="E226" s="165" t="s">
        <v>17</v>
      </c>
      <c r="F226" s="165" t="s">
        <v>17</v>
      </c>
      <c r="G226" s="165" t="s">
        <v>17</v>
      </c>
      <c r="H226" s="165" t="s">
        <v>17</v>
      </c>
      <c r="I226" s="165"/>
      <c r="J226" s="165">
        <v>4</v>
      </c>
      <c r="K226" s="487">
        <f>(SUM(J226:J228)/3)/5</f>
        <v>0.8</v>
      </c>
      <c r="L226" s="378" t="s">
        <v>467</v>
      </c>
      <c r="M226" s="381" t="s">
        <v>468</v>
      </c>
    </row>
    <row r="227" spans="2:13" ht="15.75" customHeight="1" x14ac:dyDescent="0.25">
      <c r="B227" s="382"/>
      <c r="C227" s="379"/>
      <c r="D227" s="165">
        <v>2018</v>
      </c>
      <c r="E227" s="165" t="s">
        <v>17</v>
      </c>
      <c r="F227" s="165" t="s">
        <v>17</v>
      </c>
      <c r="G227" s="165" t="s">
        <v>17</v>
      </c>
      <c r="H227" s="165" t="s">
        <v>17</v>
      </c>
      <c r="I227" s="165"/>
      <c r="J227" s="165">
        <v>4</v>
      </c>
      <c r="K227" s="488"/>
      <c r="L227" s="379"/>
      <c r="M227" s="382"/>
    </row>
    <row r="228" spans="2:13" ht="15.75" customHeight="1" x14ac:dyDescent="0.25">
      <c r="B228" s="383"/>
      <c r="C228" s="380"/>
      <c r="D228" s="165">
        <v>2019</v>
      </c>
      <c r="E228" s="165" t="s">
        <v>17</v>
      </c>
      <c r="F228" s="165" t="s">
        <v>17</v>
      </c>
      <c r="G228" s="165" t="s">
        <v>17</v>
      </c>
      <c r="H228" s="165" t="s">
        <v>17</v>
      </c>
      <c r="I228" s="165"/>
      <c r="J228" s="165">
        <v>4</v>
      </c>
      <c r="K228" s="504"/>
      <c r="L228" s="380"/>
      <c r="M228" s="383"/>
    </row>
    <row r="229" spans="2:13" ht="15.75" customHeight="1" x14ac:dyDescent="0.25">
      <c r="B229" s="381" t="s">
        <v>471</v>
      </c>
      <c r="C229" s="378" t="s">
        <v>472</v>
      </c>
      <c r="D229" s="170">
        <v>2017</v>
      </c>
      <c r="E229" s="165"/>
      <c r="F229" s="165"/>
      <c r="G229" s="165" t="s">
        <v>17</v>
      </c>
      <c r="H229" s="165" t="s">
        <v>17</v>
      </c>
      <c r="I229" s="165"/>
      <c r="J229" s="165">
        <v>2</v>
      </c>
      <c r="K229" s="487">
        <f>(SUM(J229:J231)/3)/5</f>
        <v>0.4</v>
      </c>
      <c r="L229" s="378" t="s">
        <v>473</v>
      </c>
      <c r="M229" s="381" t="s">
        <v>474</v>
      </c>
    </row>
    <row r="230" spans="2:13" ht="15.75" customHeight="1" x14ac:dyDescent="0.25">
      <c r="B230" s="382"/>
      <c r="C230" s="379"/>
      <c r="D230" s="170">
        <v>2018</v>
      </c>
      <c r="E230" s="165"/>
      <c r="F230" s="165"/>
      <c r="G230" s="165" t="s">
        <v>17</v>
      </c>
      <c r="H230" s="165" t="s">
        <v>17</v>
      </c>
      <c r="I230" s="165"/>
      <c r="J230" s="170">
        <v>2</v>
      </c>
      <c r="K230" s="488"/>
      <c r="L230" s="379"/>
      <c r="M230" s="382"/>
    </row>
    <row r="231" spans="2:13" ht="15.75" customHeight="1" x14ac:dyDescent="0.25">
      <c r="B231" s="383"/>
      <c r="C231" s="380"/>
      <c r="D231" s="170">
        <v>2019</v>
      </c>
      <c r="E231" s="165"/>
      <c r="F231" s="165"/>
      <c r="G231" s="165" t="s">
        <v>17</v>
      </c>
      <c r="H231" s="165" t="s">
        <v>17</v>
      </c>
      <c r="I231" s="165"/>
      <c r="J231" s="170">
        <v>2</v>
      </c>
      <c r="K231" s="504"/>
      <c r="L231" s="380"/>
      <c r="M231" s="383"/>
    </row>
    <row r="232" spans="2:13" ht="15.75" customHeight="1" x14ac:dyDescent="0.25">
      <c r="B232" s="381" t="s">
        <v>475</v>
      </c>
      <c r="C232" s="378" t="s">
        <v>476</v>
      </c>
      <c r="D232" s="170">
        <v>2017</v>
      </c>
      <c r="E232" s="165" t="s">
        <v>17</v>
      </c>
      <c r="F232" s="165" t="s">
        <v>17</v>
      </c>
      <c r="G232" s="165" t="s">
        <v>17</v>
      </c>
      <c r="H232" s="165" t="s">
        <v>17</v>
      </c>
      <c r="I232" s="165"/>
      <c r="J232" s="165">
        <v>4</v>
      </c>
      <c r="K232" s="487">
        <f>(SUM(J232:J234)/3)/5</f>
        <v>0.8</v>
      </c>
      <c r="L232" s="378" t="s">
        <v>477</v>
      </c>
      <c r="M232" s="381" t="s">
        <v>478</v>
      </c>
    </row>
    <row r="233" spans="2:13" ht="15.75" customHeight="1" x14ac:dyDescent="0.25">
      <c r="B233" s="382"/>
      <c r="C233" s="379"/>
      <c r="D233" s="170">
        <v>2018</v>
      </c>
      <c r="E233" s="165" t="s">
        <v>17</v>
      </c>
      <c r="F233" s="165" t="s">
        <v>17</v>
      </c>
      <c r="G233" s="165" t="s">
        <v>17</v>
      </c>
      <c r="H233" s="165" t="s">
        <v>17</v>
      </c>
      <c r="I233" s="165"/>
      <c r="J233" s="170">
        <v>4</v>
      </c>
      <c r="K233" s="488"/>
      <c r="L233" s="379"/>
      <c r="M233" s="382"/>
    </row>
    <row r="234" spans="2:13" ht="15.75" customHeight="1" x14ac:dyDescent="0.25">
      <c r="B234" s="383"/>
      <c r="C234" s="380"/>
      <c r="D234" s="170">
        <v>2019</v>
      </c>
      <c r="E234" s="165" t="s">
        <v>17</v>
      </c>
      <c r="F234" s="165" t="s">
        <v>17</v>
      </c>
      <c r="G234" s="165" t="s">
        <v>17</v>
      </c>
      <c r="H234" s="165" t="s">
        <v>17</v>
      </c>
      <c r="I234" s="165"/>
      <c r="J234" s="170">
        <v>4</v>
      </c>
      <c r="K234" s="504"/>
      <c r="L234" s="380"/>
      <c r="M234" s="383"/>
    </row>
    <row r="235" spans="2:13" ht="15.75" customHeight="1" x14ac:dyDescent="0.25">
      <c r="B235" s="381" t="s">
        <v>479</v>
      </c>
      <c r="C235" s="378" t="s">
        <v>480</v>
      </c>
      <c r="D235" s="183">
        <v>2017</v>
      </c>
      <c r="E235" s="165" t="s">
        <v>17</v>
      </c>
      <c r="F235" s="165" t="s">
        <v>17</v>
      </c>
      <c r="G235" s="165" t="s">
        <v>17</v>
      </c>
      <c r="H235" s="165"/>
      <c r="I235" s="165"/>
      <c r="J235" s="165">
        <v>3</v>
      </c>
      <c r="K235" s="487">
        <f>(SUM(J235:J237)/3)/5</f>
        <v>0.46666666666666667</v>
      </c>
      <c r="L235" s="378" t="s">
        <v>481</v>
      </c>
      <c r="M235" s="381" t="s">
        <v>482</v>
      </c>
    </row>
    <row r="236" spans="2:13" ht="15.75" customHeight="1" x14ac:dyDescent="0.25">
      <c r="B236" s="382"/>
      <c r="C236" s="379"/>
      <c r="D236" s="183">
        <v>2018</v>
      </c>
      <c r="E236" s="165" t="s">
        <v>17</v>
      </c>
      <c r="F236" s="165"/>
      <c r="G236" s="165" t="s">
        <v>17</v>
      </c>
      <c r="H236" s="165"/>
      <c r="I236" s="165"/>
      <c r="J236" s="165">
        <v>2</v>
      </c>
      <c r="K236" s="488"/>
      <c r="L236" s="379"/>
      <c r="M236" s="382"/>
    </row>
    <row r="237" spans="2:13" ht="15.75" customHeight="1" x14ac:dyDescent="0.25">
      <c r="B237" s="383"/>
      <c r="C237" s="380"/>
      <c r="D237" s="183">
        <v>2019</v>
      </c>
      <c r="E237" s="165" t="s">
        <v>17</v>
      </c>
      <c r="F237" s="165"/>
      <c r="G237" s="165" t="s">
        <v>17</v>
      </c>
      <c r="H237" s="165"/>
      <c r="I237" s="165"/>
      <c r="J237" s="165">
        <v>2</v>
      </c>
      <c r="K237" s="504"/>
      <c r="L237" s="380"/>
      <c r="M237" s="383"/>
    </row>
    <row r="238" spans="2:13" ht="15.75" customHeight="1" x14ac:dyDescent="0.25">
      <c r="B238" s="381" t="s">
        <v>487</v>
      </c>
      <c r="C238" s="378" t="s">
        <v>488</v>
      </c>
      <c r="D238" s="183">
        <v>2017</v>
      </c>
      <c r="E238" s="165" t="s">
        <v>17</v>
      </c>
      <c r="F238" s="183" t="s">
        <v>17</v>
      </c>
      <c r="G238" s="183" t="s">
        <v>17</v>
      </c>
      <c r="H238" s="183" t="s">
        <v>17</v>
      </c>
      <c r="I238" s="165" t="s">
        <v>17</v>
      </c>
      <c r="J238" s="165">
        <v>5</v>
      </c>
      <c r="K238" s="487">
        <f>(SUM(J238:J240)/3)/5</f>
        <v>1</v>
      </c>
      <c r="L238" s="489" t="s">
        <v>489</v>
      </c>
      <c r="M238" s="378" t="s">
        <v>490</v>
      </c>
    </row>
    <row r="239" spans="2:13" ht="15.75" customHeight="1" x14ac:dyDescent="0.25">
      <c r="B239" s="382"/>
      <c r="C239" s="379"/>
      <c r="D239" s="183">
        <v>2018</v>
      </c>
      <c r="E239" s="165" t="s">
        <v>17</v>
      </c>
      <c r="F239" s="183" t="s">
        <v>17</v>
      </c>
      <c r="G239" s="183" t="s">
        <v>17</v>
      </c>
      <c r="H239" s="183" t="s">
        <v>17</v>
      </c>
      <c r="I239" s="165" t="s">
        <v>17</v>
      </c>
      <c r="J239" s="183">
        <v>5</v>
      </c>
      <c r="K239" s="488"/>
      <c r="L239" s="490"/>
      <c r="M239" s="379"/>
    </row>
    <row r="240" spans="2:13" ht="15.75" customHeight="1" x14ac:dyDescent="0.25">
      <c r="B240" s="383"/>
      <c r="C240" s="380"/>
      <c r="D240" s="183">
        <v>2019</v>
      </c>
      <c r="E240" s="165" t="s">
        <v>17</v>
      </c>
      <c r="F240" s="183" t="s">
        <v>17</v>
      </c>
      <c r="G240" s="183" t="s">
        <v>17</v>
      </c>
      <c r="H240" s="183" t="s">
        <v>17</v>
      </c>
      <c r="I240" s="165" t="s">
        <v>17</v>
      </c>
      <c r="J240" s="183">
        <v>5</v>
      </c>
      <c r="K240" s="504"/>
      <c r="L240" s="491"/>
      <c r="M240" s="380"/>
    </row>
    <row r="241" spans="2:13" ht="15.75" customHeight="1" x14ac:dyDescent="0.25">
      <c r="B241" s="381" t="s">
        <v>491</v>
      </c>
      <c r="C241" s="378" t="s">
        <v>492</v>
      </c>
      <c r="D241" s="183">
        <v>2017</v>
      </c>
      <c r="E241" s="183" t="s">
        <v>17</v>
      </c>
      <c r="F241" s="165"/>
      <c r="G241" s="165"/>
      <c r="H241" s="183" t="s">
        <v>17</v>
      </c>
      <c r="I241" s="165"/>
      <c r="J241" s="165">
        <v>2</v>
      </c>
      <c r="K241" s="487">
        <f>(SUM(J241:J243)/3)/5</f>
        <v>0.4</v>
      </c>
      <c r="L241" s="489" t="s">
        <v>493</v>
      </c>
      <c r="M241" s="381" t="s">
        <v>426</v>
      </c>
    </row>
    <row r="242" spans="2:13" ht="15.75" customHeight="1" x14ac:dyDescent="0.25">
      <c r="B242" s="382"/>
      <c r="C242" s="379"/>
      <c r="D242" s="183">
        <v>2018</v>
      </c>
      <c r="E242" s="183" t="s">
        <v>17</v>
      </c>
      <c r="F242" s="165"/>
      <c r="G242" s="165"/>
      <c r="H242" s="183" t="s">
        <v>17</v>
      </c>
      <c r="I242" s="165"/>
      <c r="J242" s="165">
        <v>2</v>
      </c>
      <c r="K242" s="488"/>
      <c r="L242" s="490"/>
      <c r="M242" s="382"/>
    </row>
    <row r="243" spans="2:13" ht="15.75" customHeight="1" x14ac:dyDescent="0.25">
      <c r="B243" s="383"/>
      <c r="C243" s="380"/>
      <c r="D243" s="183">
        <v>2019</v>
      </c>
      <c r="E243" s="183" t="s">
        <v>17</v>
      </c>
      <c r="F243" s="165"/>
      <c r="G243" s="165"/>
      <c r="H243" s="183" t="s">
        <v>17</v>
      </c>
      <c r="I243" s="165"/>
      <c r="J243" s="165">
        <v>2</v>
      </c>
      <c r="K243" s="504"/>
      <c r="L243" s="491"/>
      <c r="M243" s="383"/>
    </row>
    <row r="244" spans="2:13" ht="15.75" customHeight="1" x14ac:dyDescent="0.25">
      <c r="B244" s="381" t="s">
        <v>502</v>
      </c>
      <c r="C244" s="378" t="s">
        <v>503</v>
      </c>
      <c r="D244" s="186">
        <v>2017</v>
      </c>
      <c r="E244" s="165" t="s">
        <v>17</v>
      </c>
      <c r="F244" s="165"/>
      <c r="G244" s="165"/>
      <c r="H244" s="165"/>
      <c r="I244" s="165"/>
      <c r="J244" s="165">
        <v>1</v>
      </c>
      <c r="K244" s="487">
        <f>(SUM(J244:J246)/3)/5</f>
        <v>0.2</v>
      </c>
      <c r="L244" s="378" t="s">
        <v>504</v>
      </c>
      <c r="M244" s="381" t="s">
        <v>505</v>
      </c>
    </row>
    <row r="245" spans="2:13" ht="15.75" customHeight="1" x14ac:dyDescent="0.25">
      <c r="B245" s="382"/>
      <c r="C245" s="379"/>
      <c r="D245" s="186">
        <v>2018</v>
      </c>
      <c r="E245" s="165" t="s">
        <v>17</v>
      </c>
      <c r="F245" s="165"/>
      <c r="G245" s="165"/>
      <c r="H245" s="165"/>
      <c r="I245" s="165"/>
      <c r="J245" s="187">
        <v>1</v>
      </c>
      <c r="K245" s="488"/>
      <c r="L245" s="379"/>
      <c r="M245" s="382"/>
    </row>
    <row r="246" spans="2:13" ht="15.75" customHeight="1" x14ac:dyDescent="0.25">
      <c r="B246" s="383"/>
      <c r="C246" s="380"/>
      <c r="D246" s="186">
        <v>2019</v>
      </c>
      <c r="E246" s="165" t="s">
        <v>17</v>
      </c>
      <c r="F246" s="165"/>
      <c r="G246" s="165"/>
      <c r="H246" s="165"/>
      <c r="I246" s="165"/>
      <c r="J246" s="187">
        <v>1</v>
      </c>
      <c r="K246" s="504"/>
      <c r="L246" s="380"/>
      <c r="M246" s="383"/>
    </row>
    <row r="247" spans="2:13" ht="15.75" customHeight="1" x14ac:dyDescent="0.25">
      <c r="B247" s="381" t="s">
        <v>506</v>
      </c>
      <c r="C247" s="378" t="s">
        <v>507</v>
      </c>
      <c r="D247" s="186">
        <v>2017</v>
      </c>
      <c r="E247" s="165" t="s">
        <v>17</v>
      </c>
      <c r="F247" s="165"/>
      <c r="G247" s="165"/>
      <c r="H247" s="165"/>
      <c r="I247" s="165"/>
      <c r="J247" s="187">
        <v>1</v>
      </c>
      <c r="K247" s="487">
        <f>(SUM(J247:J249)/3)/5</f>
        <v>0.2</v>
      </c>
      <c r="L247" s="378" t="s">
        <v>508</v>
      </c>
      <c r="M247" s="378" t="s">
        <v>509</v>
      </c>
    </row>
    <row r="248" spans="2:13" ht="15.75" customHeight="1" x14ac:dyDescent="0.25">
      <c r="B248" s="382"/>
      <c r="C248" s="379"/>
      <c r="D248" s="186">
        <v>2018</v>
      </c>
      <c r="E248" s="165" t="s">
        <v>17</v>
      </c>
      <c r="F248" s="165"/>
      <c r="G248" s="165"/>
      <c r="H248" s="165"/>
      <c r="I248" s="165"/>
      <c r="J248" s="187">
        <v>1</v>
      </c>
      <c r="K248" s="488"/>
      <c r="L248" s="379"/>
      <c r="M248" s="379"/>
    </row>
    <row r="249" spans="2:13" ht="15.75" customHeight="1" x14ac:dyDescent="0.25">
      <c r="B249" s="383"/>
      <c r="C249" s="380"/>
      <c r="D249" s="186">
        <v>2019</v>
      </c>
      <c r="E249" s="165" t="s">
        <v>17</v>
      </c>
      <c r="F249" s="165"/>
      <c r="G249" s="165"/>
      <c r="H249" s="165"/>
      <c r="I249" s="165"/>
      <c r="J249" s="187">
        <v>1</v>
      </c>
      <c r="K249" s="504"/>
      <c r="L249" s="380"/>
      <c r="M249" s="380"/>
    </row>
    <row r="250" spans="2:13" ht="15.75" customHeight="1" x14ac:dyDescent="0.25">
      <c r="B250" s="400" t="s">
        <v>514</v>
      </c>
      <c r="C250" s="378" t="s">
        <v>515</v>
      </c>
      <c r="D250" s="187">
        <v>2017</v>
      </c>
      <c r="E250" s="187" t="s">
        <v>17</v>
      </c>
      <c r="F250" s="187" t="s">
        <v>17</v>
      </c>
      <c r="G250" s="187" t="s">
        <v>17</v>
      </c>
      <c r="H250" s="187" t="s">
        <v>17</v>
      </c>
      <c r="I250" s="165"/>
      <c r="J250" s="165">
        <v>4</v>
      </c>
      <c r="K250" s="487">
        <f>(SUM(J250:J252)/3)/5</f>
        <v>0.8</v>
      </c>
      <c r="L250" s="489" t="s">
        <v>516</v>
      </c>
      <c r="M250" s="378" t="s">
        <v>517</v>
      </c>
    </row>
    <row r="251" spans="2:13" ht="15.75" customHeight="1" x14ac:dyDescent="0.25">
      <c r="B251" s="404"/>
      <c r="C251" s="379"/>
      <c r="D251" s="187">
        <v>2018</v>
      </c>
      <c r="E251" s="187" t="s">
        <v>17</v>
      </c>
      <c r="F251" s="187" t="s">
        <v>17</v>
      </c>
      <c r="G251" s="187" t="s">
        <v>17</v>
      </c>
      <c r="H251" s="187" t="s">
        <v>17</v>
      </c>
      <c r="I251" s="165"/>
      <c r="J251" s="165">
        <v>4</v>
      </c>
      <c r="K251" s="488"/>
      <c r="L251" s="490"/>
      <c r="M251" s="379"/>
    </row>
    <row r="252" spans="2:13" ht="15.75" customHeight="1" x14ac:dyDescent="0.25">
      <c r="B252" s="401"/>
      <c r="C252" s="380"/>
      <c r="D252" s="187">
        <v>2019</v>
      </c>
      <c r="E252" s="187" t="s">
        <v>17</v>
      </c>
      <c r="F252" s="187" t="s">
        <v>17</v>
      </c>
      <c r="G252" s="187" t="s">
        <v>17</v>
      </c>
      <c r="H252" s="187" t="s">
        <v>17</v>
      </c>
      <c r="I252" s="165"/>
      <c r="J252" s="165">
        <v>4</v>
      </c>
      <c r="K252" s="504"/>
      <c r="L252" s="491"/>
      <c r="M252" s="380"/>
    </row>
    <row r="253" spans="2:13" ht="15.75" customHeight="1" x14ac:dyDescent="0.25">
      <c r="B253" s="400" t="s">
        <v>518</v>
      </c>
      <c r="C253" s="378" t="s">
        <v>519</v>
      </c>
      <c r="D253" s="187">
        <v>2017</v>
      </c>
      <c r="E253" s="165" t="s">
        <v>17</v>
      </c>
      <c r="F253" s="187" t="s">
        <v>17</v>
      </c>
      <c r="G253" s="165"/>
      <c r="H253" s="165"/>
      <c r="I253" s="165"/>
      <c r="J253" s="165">
        <v>2</v>
      </c>
      <c r="K253" s="487">
        <f>(SUM(J253:J255)/3)/5</f>
        <v>0.4</v>
      </c>
      <c r="L253" s="489" t="s">
        <v>520</v>
      </c>
      <c r="M253" s="381" t="s">
        <v>521</v>
      </c>
    </row>
    <row r="254" spans="2:13" ht="15.75" customHeight="1" x14ac:dyDescent="0.25">
      <c r="B254" s="404"/>
      <c r="C254" s="379"/>
      <c r="D254" s="187">
        <v>2018</v>
      </c>
      <c r="E254" s="165" t="s">
        <v>17</v>
      </c>
      <c r="F254" s="187" t="s">
        <v>17</v>
      </c>
      <c r="G254" s="165"/>
      <c r="H254" s="165"/>
      <c r="I254" s="165"/>
      <c r="J254" s="165">
        <v>2</v>
      </c>
      <c r="K254" s="488"/>
      <c r="L254" s="490"/>
      <c r="M254" s="382"/>
    </row>
    <row r="255" spans="2:13" ht="15.75" customHeight="1" x14ac:dyDescent="0.25">
      <c r="B255" s="401"/>
      <c r="C255" s="380"/>
      <c r="D255" s="187">
        <v>2019</v>
      </c>
      <c r="E255" s="165" t="s">
        <v>17</v>
      </c>
      <c r="F255" s="187" t="s">
        <v>17</v>
      </c>
      <c r="G255" s="165"/>
      <c r="H255" s="165"/>
      <c r="I255" s="165"/>
      <c r="J255" s="165">
        <v>2</v>
      </c>
      <c r="K255" s="504"/>
      <c r="L255" s="491"/>
      <c r="M255" s="383"/>
    </row>
    <row r="256" spans="2:13" ht="15.75" customHeight="1" x14ac:dyDescent="0.25">
      <c r="B256" s="400" t="s">
        <v>522</v>
      </c>
      <c r="C256" s="378" t="s">
        <v>523</v>
      </c>
      <c r="D256" s="187">
        <v>2017</v>
      </c>
      <c r="E256" s="187" t="s">
        <v>17</v>
      </c>
      <c r="F256" s="187" t="s">
        <v>17</v>
      </c>
      <c r="G256" s="187" t="s">
        <v>17</v>
      </c>
      <c r="H256" s="187" t="s">
        <v>17</v>
      </c>
      <c r="I256" s="165" t="s">
        <v>17</v>
      </c>
      <c r="J256" s="165">
        <v>5</v>
      </c>
      <c r="K256" s="487">
        <f>(SUM(J256:J258)/3)/5</f>
        <v>1</v>
      </c>
      <c r="L256" s="489" t="s">
        <v>524</v>
      </c>
      <c r="M256" s="378" t="s">
        <v>525</v>
      </c>
    </row>
    <row r="257" spans="2:13" ht="15.75" customHeight="1" x14ac:dyDescent="0.25">
      <c r="B257" s="404"/>
      <c r="C257" s="379"/>
      <c r="D257" s="187">
        <v>2018</v>
      </c>
      <c r="E257" s="187" t="s">
        <v>17</v>
      </c>
      <c r="F257" s="187" t="s">
        <v>17</v>
      </c>
      <c r="G257" s="187" t="s">
        <v>17</v>
      </c>
      <c r="H257" s="187" t="s">
        <v>17</v>
      </c>
      <c r="I257" s="165" t="s">
        <v>17</v>
      </c>
      <c r="J257" s="187">
        <v>5</v>
      </c>
      <c r="K257" s="488"/>
      <c r="L257" s="490"/>
      <c r="M257" s="379"/>
    </row>
    <row r="258" spans="2:13" ht="15.75" customHeight="1" x14ac:dyDescent="0.25">
      <c r="B258" s="401"/>
      <c r="C258" s="380"/>
      <c r="D258" s="187">
        <v>2019</v>
      </c>
      <c r="E258" s="187" t="s">
        <v>17</v>
      </c>
      <c r="F258" s="187" t="s">
        <v>17</v>
      </c>
      <c r="G258" s="187" t="s">
        <v>17</v>
      </c>
      <c r="H258" s="187" t="s">
        <v>17</v>
      </c>
      <c r="I258" s="165" t="s">
        <v>17</v>
      </c>
      <c r="J258" s="187">
        <v>5</v>
      </c>
      <c r="K258" s="504"/>
      <c r="L258" s="491"/>
      <c r="M258" s="380"/>
    </row>
    <row r="259" spans="2:13" ht="15.75" customHeight="1" x14ac:dyDescent="0.25">
      <c r="B259" s="400" t="s">
        <v>526</v>
      </c>
      <c r="C259" s="378" t="s">
        <v>527</v>
      </c>
      <c r="D259" s="187">
        <v>2017</v>
      </c>
      <c r="E259" s="187" t="s">
        <v>17</v>
      </c>
      <c r="F259" s="187" t="s">
        <v>17</v>
      </c>
      <c r="G259" s="165" t="s">
        <v>17</v>
      </c>
      <c r="H259" s="165" t="s">
        <v>17</v>
      </c>
      <c r="I259" s="165"/>
      <c r="J259" s="165">
        <v>4</v>
      </c>
      <c r="K259" s="487">
        <f>(SUM(J259:J261)/3)/5</f>
        <v>0.8</v>
      </c>
      <c r="L259" s="378" t="s">
        <v>533</v>
      </c>
      <c r="M259" s="378" t="s">
        <v>528</v>
      </c>
    </row>
    <row r="260" spans="2:13" ht="15.75" customHeight="1" x14ac:dyDescent="0.25">
      <c r="B260" s="404"/>
      <c r="C260" s="379"/>
      <c r="D260" s="187">
        <v>2018</v>
      </c>
      <c r="E260" s="187" t="s">
        <v>17</v>
      </c>
      <c r="F260" s="187" t="s">
        <v>17</v>
      </c>
      <c r="G260" s="165" t="s">
        <v>17</v>
      </c>
      <c r="H260" s="165" t="s">
        <v>17</v>
      </c>
      <c r="I260" s="165"/>
      <c r="J260" s="165">
        <v>4</v>
      </c>
      <c r="K260" s="488"/>
      <c r="L260" s="379"/>
      <c r="M260" s="379"/>
    </row>
    <row r="261" spans="2:13" ht="15.75" customHeight="1" x14ac:dyDescent="0.25">
      <c r="B261" s="401"/>
      <c r="C261" s="380"/>
      <c r="D261" s="187">
        <v>2019</v>
      </c>
      <c r="E261" s="187" t="s">
        <v>17</v>
      </c>
      <c r="F261" s="187" t="s">
        <v>17</v>
      </c>
      <c r="G261" s="165" t="s">
        <v>17</v>
      </c>
      <c r="H261" s="165" t="s">
        <v>17</v>
      </c>
      <c r="I261" s="165"/>
      <c r="J261" s="165">
        <v>4</v>
      </c>
      <c r="K261" s="504"/>
      <c r="L261" s="380"/>
      <c r="M261" s="380"/>
    </row>
    <row r="262" spans="2:13" ht="15.75" customHeight="1" x14ac:dyDescent="0.25">
      <c r="B262" s="400" t="s">
        <v>531</v>
      </c>
      <c r="C262" s="378" t="s">
        <v>532</v>
      </c>
      <c r="D262" s="187">
        <v>2017</v>
      </c>
      <c r="E262" s="165" t="s">
        <v>17</v>
      </c>
      <c r="F262" s="187" t="s">
        <v>17</v>
      </c>
      <c r="G262" s="165" t="s">
        <v>17</v>
      </c>
      <c r="H262" s="187" t="s">
        <v>17</v>
      </c>
      <c r="I262" s="165"/>
      <c r="J262" s="187">
        <v>4</v>
      </c>
      <c r="K262" s="487">
        <f>(SUM(J262:J264)/3)/5</f>
        <v>0.8</v>
      </c>
      <c r="L262" s="378" t="s">
        <v>534</v>
      </c>
      <c r="M262" s="378" t="s">
        <v>535</v>
      </c>
    </row>
    <row r="263" spans="2:13" ht="15.75" customHeight="1" x14ac:dyDescent="0.25">
      <c r="B263" s="404"/>
      <c r="C263" s="379"/>
      <c r="D263" s="187">
        <v>2018</v>
      </c>
      <c r="E263" s="165" t="s">
        <v>17</v>
      </c>
      <c r="F263" s="187" t="s">
        <v>17</v>
      </c>
      <c r="G263" s="165" t="s">
        <v>17</v>
      </c>
      <c r="H263" s="187" t="s">
        <v>17</v>
      </c>
      <c r="I263" s="165"/>
      <c r="J263" s="187">
        <v>4</v>
      </c>
      <c r="K263" s="488"/>
      <c r="L263" s="379"/>
      <c r="M263" s="379"/>
    </row>
    <row r="264" spans="2:13" ht="15.75" customHeight="1" x14ac:dyDescent="0.25">
      <c r="B264" s="401"/>
      <c r="C264" s="380"/>
      <c r="D264" s="187">
        <v>2019</v>
      </c>
      <c r="E264" s="165" t="s">
        <v>17</v>
      </c>
      <c r="F264" s="187" t="s">
        <v>17</v>
      </c>
      <c r="G264" s="165" t="s">
        <v>17</v>
      </c>
      <c r="H264" s="187" t="s">
        <v>17</v>
      </c>
      <c r="I264" s="165"/>
      <c r="J264" s="187">
        <v>4</v>
      </c>
      <c r="K264" s="504"/>
      <c r="L264" s="380"/>
      <c r="M264" s="380"/>
    </row>
    <row r="265" spans="2:13" ht="15.75" customHeight="1" x14ac:dyDescent="0.25">
      <c r="B265" s="400" t="s">
        <v>536</v>
      </c>
      <c r="C265" s="378" t="s">
        <v>537</v>
      </c>
      <c r="D265" s="188">
        <v>2017</v>
      </c>
      <c r="E265" s="165" t="s">
        <v>17</v>
      </c>
      <c r="F265" s="165" t="s">
        <v>17</v>
      </c>
      <c r="G265" s="165"/>
      <c r="H265" s="165"/>
      <c r="I265" s="165" t="s">
        <v>17</v>
      </c>
      <c r="J265" s="165">
        <v>3</v>
      </c>
      <c r="K265" s="487">
        <f>(SUM(J265:J267)/3)/5</f>
        <v>0.6</v>
      </c>
      <c r="L265" s="489" t="s">
        <v>538</v>
      </c>
      <c r="M265" s="378" t="s">
        <v>539</v>
      </c>
    </row>
    <row r="266" spans="2:13" ht="15.75" customHeight="1" x14ac:dyDescent="0.25">
      <c r="B266" s="404"/>
      <c r="C266" s="379"/>
      <c r="D266" s="188">
        <v>2018</v>
      </c>
      <c r="E266" s="165" t="s">
        <v>17</v>
      </c>
      <c r="F266" s="165" t="s">
        <v>17</v>
      </c>
      <c r="G266" s="165"/>
      <c r="H266" s="165"/>
      <c r="I266" s="165" t="s">
        <v>17</v>
      </c>
      <c r="J266" s="165">
        <v>3</v>
      </c>
      <c r="K266" s="488"/>
      <c r="L266" s="490"/>
      <c r="M266" s="379"/>
    </row>
    <row r="267" spans="2:13" ht="15.75" customHeight="1" x14ac:dyDescent="0.25">
      <c r="B267" s="401"/>
      <c r="C267" s="380"/>
      <c r="D267" s="188">
        <v>2019</v>
      </c>
      <c r="E267" s="165" t="s">
        <v>17</v>
      </c>
      <c r="F267" s="165" t="s">
        <v>17</v>
      </c>
      <c r="G267" s="165"/>
      <c r="H267" s="165"/>
      <c r="I267" s="165" t="s">
        <v>17</v>
      </c>
      <c r="J267" s="165">
        <v>3</v>
      </c>
      <c r="K267" s="504"/>
      <c r="L267" s="491"/>
      <c r="M267" s="380"/>
    </row>
    <row r="268" spans="2:13" ht="15.75" customHeight="1" x14ac:dyDescent="0.25">
      <c r="B268" s="400" t="s">
        <v>540</v>
      </c>
      <c r="C268" s="378" t="s">
        <v>541</v>
      </c>
      <c r="D268" s="188">
        <v>2017</v>
      </c>
      <c r="E268" s="165"/>
      <c r="F268" s="165"/>
      <c r="G268" s="165"/>
      <c r="H268" s="165"/>
      <c r="I268" s="165"/>
      <c r="J268" s="165">
        <v>0</v>
      </c>
      <c r="K268" s="487">
        <f>(SUM(J268:J270)/3)/5</f>
        <v>0</v>
      </c>
      <c r="L268" s="489" t="s">
        <v>26</v>
      </c>
      <c r="M268" s="381" t="s">
        <v>26</v>
      </c>
    </row>
    <row r="269" spans="2:13" ht="15.75" customHeight="1" x14ac:dyDescent="0.25">
      <c r="B269" s="404"/>
      <c r="C269" s="379"/>
      <c r="D269" s="188">
        <v>2018</v>
      </c>
      <c r="E269" s="165"/>
      <c r="F269" s="165"/>
      <c r="G269" s="165"/>
      <c r="H269" s="165"/>
      <c r="I269" s="165"/>
      <c r="J269" s="165">
        <v>0</v>
      </c>
      <c r="K269" s="488"/>
      <c r="L269" s="490"/>
      <c r="M269" s="382"/>
    </row>
    <row r="270" spans="2:13" ht="15.75" customHeight="1" x14ac:dyDescent="0.25">
      <c r="B270" s="401"/>
      <c r="C270" s="380"/>
      <c r="D270" s="188">
        <v>2019</v>
      </c>
      <c r="E270" s="165"/>
      <c r="F270" s="165"/>
      <c r="G270" s="165"/>
      <c r="H270" s="165"/>
      <c r="I270" s="165"/>
      <c r="J270" s="165">
        <v>0</v>
      </c>
      <c r="K270" s="504"/>
      <c r="L270" s="491"/>
      <c r="M270" s="383"/>
    </row>
    <row r="271" spans="2:13" ht="15.75" customHeight="1" x14ac:dyDescent="0.25">
      <c r="B271" s="400" t="s">
        <v>542</v>
      </c>
      <c r="C271" s="378" t="s">
        <v>543</v>
      </c>
      <c r="D271" s="191">
        <v>2017</v>
      </c>
      <c r="E271" s="165" t="s">
        <v>17</v>
      </c>
      <c r="F271" s="165"/>
      <c r="G271" s="165"/>
      <c r="H271" s="165"/>
      <c r="I271" s="165"/>
      <c r="J271" s="165">
        <v>1</v>
      </c>
      <c r="K271" s="487">
        <f>(SUM(J271:J273)/3)/5</f>
        <v>0.2</v>
      </c>
      <c r="L271" s="501" t="s">
        <v>544</v>
      </c>
      <c r="M271" s="381" t="s">
        <v>545</v>
      </c>
    </row>
    <row r="272" spans="2:13" ht="15.75" customHeight="1" x14ac:dyDescent="0.25">
      <c r="B272" s="404"/>
      <c r="C272" s="379"/>
      <c r="D272" s="191">
        <v>2018</v>
      </c>
      <c r="E272" s="165" t="s">
        <v>17</v>
      </c>
      <c r="F272" s="165"/>
      <c r="G272" s="165"/>
      <c r="H272" s="165"/>
      <c r="I272" s="165"/>
      <c r="J272" s="165">
        <v>1</v>
      </c>
      <c r="K272" s="488"/>
      <c r="L272" s="502"/>
      <c r="M272" s="382"/>
    </row>
    <row r="273" spans="2:13" ht="15.75" customHeight="1" x14ac:dyDescent="0.25">
      <c r="B273" s="401"/>
      <c r="C273" s="380"/>
      <c r="D273" s="191">
        <v>2019</v>
      </c>
      <c r="E273" s="165" t="s">
        <v>17</v>
      </c>
      <c r="F273" s="165"/>
      <c r="G273" s="165"/>
      <c r="H273" s="165"/>
      <c r="I273" s="165"/>
      <c r="J273" s="165">
        <v>1</v>
      </c>
      <c r="K273" s="504"/>
      <c r="L273" s="503"/>
      <c r="M273" s="383"/>
    </row>
    <row r="274" spans="2:13" ht="15.75" customHeight="1" x14ac:dyDescent="0.25">
      <c r="B274" s="400" t="s">
        <v>546</v>
      </c>
      <c r="C274" s="378" t="s">
        <v>547</v>
      </c>
      <c r="D274" s="191">
        <v>2017</v>
      </c>
      <c r="E274" s="191" t="s">
        <v>17</v>
      </c>
      <c r="F274" s="165" t="s">
        <v>17</v>
      </c>
      <c r="G274" s="165"/>
      <c r="H274" s="165"/>
      <c r="I274" s="165"/>
      <c r="J274" s="165">
        <v>2</v>
      </c>
      <c r="K274" s="487">
        <f>(SUM(J274:J276)/3)/5</f>
        <v>0.4</v>
      </c>
      <c r="L274" s="378" t="s">
        <v>548</v>
      </c>
      <c r="M274" s="381" t="s">
        <v>371</v>
      </c>
    </row>
    <row r="275" spans="2:13" ht="15.75" customHeight="1" x14ac:dyDescent="0.25">
      <c r="B275" s="404"/>
      <c r="C275" s="379"/>
      <c r="D275" s="191">
        <v>2018</v>
      </c>
      <c r="E275" s="191" t="s">
        <v>17</v>
      </c>
      <c r="F275" s="165" t="s">
        <v>17</v>
      </c>
      <c r="G275" s="165"/>
      <c r="H275" s="165"/>
      <c r="I275" s="165"/>
      <c r="J275" s="165">
        <v>2</v>
      </c>
      <c r="K275" s="488"/>
      <c r="L275" s="379"/>
      <c r="M275" s="382"/>
    </row>
    <row r="276" spans="2:13" ht="15.75" customHeight="1" x14ac:dyDescent="0.25">
      <c r="B276" s="401"/>
      <c r="C276" s="380"/>
      <c r="D276" s="191">
        <v>2019</v>
      </c>
      <c r="E276" s="191" t="s">
        <v>17</v>
      </c>
      <c r="F276" s="165" t="s">
        <v>17</v>
      </c>
      <c r="G276" s="165"/>
      <c r="H276" s="165"/>
      <c r="I276" s="165"/>
      <c r="J276" s="165">
        <v>2</v>
      </c>
      <c r="K276" s="504"/>
      <c r="L276" s="380"/>
      <c r="M276" s="383"/>
    </row>
    <row r="277" spans="2:13" ht="15.75" customHeight="1" x14ac:dyDescent="0.25">
      <c r="B277" s="400" t="s">
        <v>549</v>
      </c>
      <c r="C277" s="378" t="s">
        <v>550</v>
      </c>
      <c r="D277" s="191">
        <v>2017</v>
      </c>
      <c r="E277" s="191" t="s">
        <v>17</v>
      </c>
      <c r="F277" s="165" t="s">
        <v>17</v>
      </c>
      <c r="G277" s="165" t="s">
        <v>17</v>
      </c>
      <c r="H277" s="165"/>
      <c r="I277" s="165"/>
      <c r="J277" s="165">
        <v>3</v>
      </c>
      <c r="K277" s="487">
        <f>(SUM(J277:J279)/3)/5</f>
        <v>0.6</v>
      </c>
      <c r="L277" s="555" t="s">
        <v>551</v>
      </c>
      <c r="M277" s="378" t="s">
        <v>552</v>
      </c>
    </row>
    <row r="278" spans="2:13" ht="15.75" customHeight="1" x14ac:dyDescent="0.25">
      <c r="B278" s="404"/>
      <c r="C278" s="379"/>
      <c r="D278" s="191">
        <v>2018</v>
      </c>
      <c r="E278" s="191" t="s">
        <v>17</v>
      </c>
      <c r="F278" s="165" t="s">
        <v>17</v>
      </c>
      <c r="G278" s="165" t="s">
        <v>17</v>
      </c>
      <c r="H278" s="165"/>
      <c r="I278" s="165"/>
      <c r="J278" s="165">
        <v>3</v>
      </c>
      <c r="K278" s="488"/>
      <c r="L278" s="556"/>
      <c r="M278" s="379"/>
    </row>
    <row r="279" spans="2:13" ht="15.75" customHeight="1" x14ac:dyDescent="0.25">
      <c r="B279" s="401"/>
      <c r="C279" s="380"/>
      <c r="D279" s="191">
        <v>2019</v>
      </c>
      <c r="E279" s="191" t="s">
        <v>17</v>
      </c>
      <c r="F279" s="165" t="s">
        <v>17</v>
      </c>
      <c r="G279" s="165" t="s">
        <v>17</v>
      </c>
      <c r="H279" s="165"/>
      <c r="I279" s="165"/>
      <c r="J279" s="165">
        <v>3</v>
      </c>
      <c r="K279" s="504"/>
      <c r="L279" s="557"/>
      <c r="M279" s="380"/>
    </row>
    <row r="280" spans="2:13" ht="15.75" customHeight="1" x14ac:dyDescent="0.25">
      <c r="B280" s="400" t="s">
        <v>557</v>
      </c>
      <c r="C280" s="378" t="s">
        <v>558</v>
      </c>
      <c r="D280" s="191">
        <v>2017</v>
      </c>
      <c r="E280" s="165" t="s">
        <v>17</v>
      </c>
      <c r="F280" s="165" t="s">
        <v>17</v>
      </c>
      <c r="G280" s="165"/>
      <c r="H280" s="165"/>
      <c r="I280" s="165"/>
      <c r="J280" s="165">
        <v>1</v>
      </c>
      <c r="K280" s="487">
        <f>(SUM(J280:J282)/3)/5</f>
        <v>0.2</v>
      </c>
      <c r="L280" s="378" t="s">
        <v>559</v>
      </c>
      <c r="M280" s="381" t="s">
        <v>371</v>
      </c>
    </row>
    <row r="281" spans="2:13" ht="15.75" customHeight="1" x14ac:dyDescent="0.25">
      <c r="B281" s="404"/>
      <c r="C281" s="379"/>
      <c r="D281" s="191">
        <v>2018</v>
      </c>
      <c r="E281" s="165" t="s">
        <v>17</v>
      </c>
      <c r="F281" s="165" t="s">
        <v>17</v>
      </c>
      <c r="G281" s="165"/>
      <c r="H281" s="165"/>
      <c r="I281" s="165"/>
      <c r="J281" s="165">
        <v>1</v>
      </c>
      <c r="K281" s="488"/>
      <c r="L281" s="379"/>
      <c r="M281" s="382"/>
    </row>
    <row r="282" spans="2:13" ht="15.75" customHeight="1" x14ac:dyDescent="0.25">
      <c r="B282" s="401"/>
      <c r="C282" s="380"/>
      <c r="D282" s="191">
        <v>2019</v>
      </c>
      <c r="E282" s="165" t="s">
        <v>17</v>
      </c>
      <c r="F282" s="165" t="s">
        <v>17</v>
      </c>
      <c r="G282" s="165"/>
      <c r="H282" s="165"/>
      <c r="I282" s="165"/>
      <c r="J282" s="165">
        <v>1</v>
      </c>
      <c r="K282" s="504"/>
      <c r="L282" s="380"/>
      <c r="M282" s="383"/>
    </row>
    <row r="283" spans="2:13" ht="15.75" customHeight="1" x14ac:dyDescent="0.25">
      <c r="B283" s="400" t="s">
        <v>562</v>
      </c>
      <c r="C283" s="378" t="s">
        <v>563</v>
      </c>
      <c r="D283" s="191">
        <v>2017</v>
      </c>
      <c r="E283" s="165" t="s">
        <v>17</v>
      </c>
      <c r="F283" s="165"/>
      <c r="G283" s="165"/>
      <c r="H283" s="165"/>
      <c r="I283" s="165"/>
      <c r="J283" s="165">
        <v>1</v>
      </c>
      <c r="K283" s="487">
        <f>(SUM(J283:J285)/3)/5</f>
        <v>0.2</v>
      </c>
      <c r="L283" s="378" t="s">
        <v>564</v>
      </c>
      <c r="M283" s="381" t="s">
        <v>565</v>
      </c>
    </row>
    <row r="284" spans="2:13" ht="15.75" customHeight="1" x14ac:dyDescent="0.25">
      <c r="B284" s="404"/>
      <c r="C284" s="379"/>
      <c r="D284" s="191">
        <v>2018</v>
      </c>
      <c r="E284" s="165" t="s">
        <v>17</v>
      </c>
      <c r="F284" s="165"/>
      <c r="G284" s="165"/>
      <c r="H284" s="165"/>
      <c r="I284" s="165"/>
      <c r="J284" s="165">
        <v>1</v>
      </c>
      <c r="K284" s="488"/>
      <c r="L284" s="379"/>
      <c r="M284" s="382"/>
    </row>
    <row r="285" spans="2:13" ht="15.75" customHeight="1" x14ac:dyDescent="0.25">
      <c r="B285" s="401"/>
      <c r="C285" s="380"/>
      <c r="D285" s="191">
        <v>2019</v>
      </c>
      <c r="E285" s="165" t="s">
        <v>17</v>
      </c>
      <c r="F285" s="165"/>
      <c r="G285" s="165"/>
      <c r="H285" s="165"/>
      <c r="I285" s="165"/>
      <c r="J285" s="165">
        <v>1</v>
      </c>
      <c r="K285" s="504"/>
      <c r="L285" s="380"/>
      <c r="M285" s="383"/>
    </row>
    <row r="286" spans="2:13" ht="15.75" customHeight="1" x14ac:dyDescent="0.25">
      <c r="B286" s="400" t="s">
        <v>568</v>
      </c>
      <c r="C286" s="378" t="s">
        <v>569</v>
      </c>
      <c r="D286" s="193">
        <v>2017</v>
      </c>
      <c r="E286" s="165" t="s">
        <v>17</v>
      </c>
      <c r="F286" s="165" t="s">
        <v>17</v>
      </c>
      <c r="G286" s="165"/>
      <c r="H286" s="165"/>
      <c r="I286" s="165"/>
      <c r="J286" s="165">
        <v>2</v>
      </c>
      <c r="K286" s="487">
        <f>(SUM(J286:J288)/3)/5</f>
        <v>0.4</v>
      </c>
      <c r="L286" s="378" t="s">
        <v>570</v>
      </c>
      <c r="M286" s="378" t="s">
        <v>571</v>
      </c>
    </row>
    <row r="287" spans="2:13" ht="15.75" customHeight="1" x14ac:dyDescent="0.25">
      <c r="B287" s="404"/>
      <c r="C287" s="379"/>
      <c r="D287" s="193">
        <v>2018</v>
      </c>
      <c r="E287" s="165" t="s">
        <v>17</v>
      </c>
      <c r="F287" s="165" t="s">
        <v>17</v>
      </c>
      <c r="G287" s="165"/>
      <c r="H287" s="165"/>
      <c r="I287" s="165"/>
      <c r="J287" s="165">
        <v>2</v>
      </c>
      <c r="K287" s="488"/>
      <c r="L287" s="379"/>
      <c r="M287" s="379"/>
    </row>
    <row r="288" spans="2:13" ht="15.75" customHeight="1" x14ac:dyDescent="0.25">
      <c r="B288" s="401"/>
      <c r="C288" s="380"/>
      <c r="D288" s="193">
        <v>2019</v>
      </c>
      <c r="E288" s="165" t="s">
        <v>17</v>
      </c>
      <c r="F288" s="165" t="s">
        <v>17</v>
      </c>
      <c r="G288" s="165"/>
      <c r="H288" s="165"/>
      <c r="I288" s="165"/>
      <c r="J288" s="165">
        <v>2</v>
      </c>
      <c r="K288" s="504"/>
      <c r="L288" s="380"/>
      <c r="M288" s="380"/>
    </row>
    <row r="289" spans="2:13" ht="15.75" customHeight="1" x14ac:dyDescent="0.25">
      <c r="B289" s="400" t="s">
        <v>574</v>
      </c>
      <c r="C289" s="378" t="s">
        <v>575</v>
      </c>
      <c r="D289" s="193">
        <v>2017</v>
      </c>
      <c r="E289" s="165"/>
      <c r="F289" s="165"/>
      <c r="G289" s="165" t="s">
        <v>17</v>
      </c>
      <c r="H289" s="165"/>
      <c r="I289" s="165"/>
      <c r="J289" s="165">
        <v>1</v>
      </c>
      <c r="K289" s="487">
        <f>(SUM(J289:J291)/3)/5</f>
        <v>0.2</v>
      </c>
      <c r="L289" s="501" t="s">
        <v>576</v>
      </c>
      <c r="M289" s="381" t="s">
        <v>577</v>
      </c>
    </row>
    <row r="290" spans="2:13" ht="15.75" customHeight="1" x14ac:dyDescent="0.25">
      <c r="B290" s="404"/>
      <c r="C290" s="379"/>
      <c r="D290" s="193">
        <v>2018</v>
      </c>
      <c r="E290" s="165"/>
      <c r="F290" s="165"/>
      <c r="G290" s="165" t="s">
        <v>17</v>
      </c>
      <c r="H290" s="165"/>
      <c r="I290" s="165"/>
      <c r="J290" s="193">
        <v>1</v>
      </c>
      <c r="K290" s="488"/>
      <c r="L290" s="502"/>
      <c r="M290" s="382"/>
    </row>
    <row r="291" spans="2:13" ht="15.75" customHeight="1" x14ac:dyDescent="0.25">
      <c r="B291" s="404"/>
      <c r="C291" s="379"/>
      <c r="D291" s="192">
        <v>2019</v>
      </c>
      <c r="E291" s="192"/>
      <c r="F291" s="192"/>
      <c r="G291" s="192" t="s">
        <v>17</v>
      </c>
      <c r="H291" s="192"/>
      <c r="I291" s="192"/>
      <c r="J291" s="193">
        <v>1</v>
      </c>
      <c r="K291" s="488"/>
      <c r="L291" s="502"/>
      <c r="M291" s="383"/>
    </row>
    <row r="292" spans="2:13" ht="15.75" customHeight="1" x14ac:dyDescent="0.25">
      <c r="B292" s="402" t="s">
        <v>578</v>
      </c>
      <c r="C292" s="378" t="s">
        <v>579</v>
      </c>
      <c r="D292" s="193">
        <v>2017</v>
      </c>
      <c r="E292" s="193"/>
      <c r="F292" s="193"/>
      <c r="G292" s="193" t="s">
        <v>17</v>
      </c>
      <c r="H292" s="193"/>
      <c r="I292" s="193"/>
      <c r="J292" s="193">
        <v>1</v>
      </c>
      <c r="K292" s="487">
        <f>(SUM(J292:J294)/3)/5</f>
        <v>0.2</v>
      </c>
      <c r="L292" s="489" t="s">
        <v>580</v>
      </c>
      <c r="M292" s="381" t="s">
        <v>581</v>
      </c>
    </row>
    <row r="293" spans="2:13" ht="15.75" customHeight="1" x14ac:dyDescent="0.25">
      <c r="B293" s="405"/>
      <c r="C293" s="379"/>
      <c r="D293" s="193">
        <v>2018</v>
      </c>
      <c r="E293" s="193"/>
      <c r="F293" s="193"/>
      <c r="G293" s="193" t="s">
        <v>17</v>
      </c>
      <c r="H293" s="193"/>
      <c r="I293" s="193"/>
      <c r="J293" s="193">
        <v>1</v>
      </c>
      <c r="K293" s="488"/>
      <c r="L293" s="490"/>
      <c r="M293" s="382"/>
    </row>
    <row r="294" spans="2:13" ht="15.75" customHeight="1" x14ac:dyDescent="0.25">
      <c r="B294" s="403"/>
      <c r="C294" s="380"/>
      <c r="D294" s="192">
        <v>2019</v>
      </c>
      <c r="E294" s="193"/>
      <c r="F294" s="193"/>
      <c r="G294" s="193" t="s">
        <v>17</v>
      </c>
      <c r="H294" s="193"/>
      <c r="I294" s="193"/>
      <c r="J294" s="193">
        <v>1</v>
      </c>
      <c r="K294" s="488"/>
      <c r="L294" s="491"/>
      <c r="M294" s="383"/>
    </row>
    <row r="295" spans="2:13" ht="15.75" customHeight="1" x14ac:dyDescent="0.25">
      <c r="B295" s="400" t="s">
        <v>584</v>
      </c>
      <c r="C295" s="378" t="s">
        <v>585</v>
      </c>
      <c r="D295" s="193">
        <v>2017</v>
      </c>
      <c r="E295" s="193" t="s">
        <v>17</v>
      </c>
      <c r="F295" s="193" t="s">
        <v>17</v>
      </c>
      <c r="G295" s="193" t="s">
        <v>17</v>
      </c>
      <c r="H295" s="193" t="s">
        <v>17</v>
      </c>
      <c r="I295" s="193" t="s">
        <v>17</v>
      </c>
      <c r="J295" s="193">
        <v>5</v>
      </c>
      <c r="K295" s="487">
        <f>(SUM(J295:J297)/3)/5</f>
        <v>1</v>
      </c>
      <c r="L295" s="378" t="s">
        <v>586</v>
      </c>
      <c r="M295" s="378" t="s">
        <v>587</v>
      </c>
    </row>
    <row r="296" spans="2:13" ht="15.75" customHeight="1" x14ac:dyDescent="0.25">
      <c r="B296" s="404"/>
      <c r="C296" s="379"/>
      <c r="D296" s="193">
        <v>2018</v>
      </c>
      <c r="E296" s="193" t="s">
        <v>17</v>
      </c>
      <c r="F296" s="193" t="s">
        <v>17</v>
      </c>
      <c r="G296" s="193" t="s">
        <v>17</v>
      </c>
      <c r="H296" s="193" t="s">
        <v>17</v>
      </c>
      <c r="I296" s="193" t="s">
        <v>17</v>
      </c>
      <c r="J296" s="193">
        <v>5</v>
      </c>
      <c r="K296" s="488"/>
      <c r="L296" s="379"/>
      <c r="M296" s="379"/>
    </row>
    <row r="297" spans="2:13" ht="15.75" customHeight="1" x14ac:dyDescent="0.25">
      <c r="B297" s="401"/>
      <c r="C297" s="380"/>
      <c r="D297" s="192">
        <v>2019</v>
      </c>
      <c r="E297" s="193" t="s">
        <v>17</v>
      </c>
      <c r="F297" s="193" t="s">
        <v>17</v>
      </c>
      <c r="G297" s="193" t="s">
        <v>17</v>
      </c>
      <c r="H297" s="193" t="s">
        <v>17</v>
      </c>
      <c r="I297" s="193" t="s">
        <v>17</v>
      </c>
      <c r="J297" s="193">
        <v>5</v>
      </c>
      <c r="K297" s="488"/>
      <c r="L297" s="380"/>
      <c r="M297" s="380"/>
    </row>
    <row r="298" spans="2:13" ht="15.75" customHeight="1" x14ac:dyDescent="0.25">
      <c r="B298" s="400" t="s">
        <v>588</v>
      </c>
      <c r="C298" s="378" t="s">
        <v>589</v>
      </c>
      <c r="D298" s="193">
        <v>2017</v>
      </c>
      <c r="E298" s="193" t="s">
        <v>17</v>
      </c>
      <c r="F298" s="193"/>
      <c r="G298" s="193"/>
      <c r="H298" s="193"/>
      <c r="I298" s="193"/>
      <c r="J298" s="193">
        <v>1</v>
      </c>
      <c r="K298" s="487">
        <f>(SUM(J298:J300)/3)/5</f>
        <v>0.2</v>
      </c>
      <c r="L298" s="501" t="s">
        <v>590</v>
      </c>
      <c r="M298" s="381" t="s">
        <v>280</v>
      </c>
    </row>
    <row r="299" spans="2:13" ht="15.75" customHeight="1" x14ac:dyDescent="0.25">
      <c r="B299" s="404"/>
      <c r="C299" s="379"/>
      <c r="D299" s="193">
        <v>2018</v>
      </c>
      <c r="E299" s="193" t="s">
        <v>17</v>
      </c>
      <c r="F299" s="193"/>
      <c r="G299" s="193"/>
      <c r="H299" s="193"/>
      <c r="I299" s="193"/>
      <c r="J299" s="193">
        <v>1</v>
      </c>
      <c r="K299" s="488"/>
      <c r="L299" s="502"/>
      <c r="M299" s="382"/>
    </row>
    <row r="300" spans="2:13" ht="15.75" customHeight="1" x14ac:dyDescent="0.25">
      <c r="B300" s="401"/>
      <c r="C300" s="380"/>
      <c r="D300" s="192">
        <v>2019</v>
      </c>
      <c r="E300" s="193" t="s">
        <v>17</v>
      </c>
      <c r="F300" s="193"/>
      <c r="G300" s="193"/>
      <c r="H300" s="193"/>
      <c r="I300" s="193"/>
      <c r="J300" s="193">
        <v>1</v>
      </c>
      <c r="K300" s="488"/>
      <c r="L300" s="503"/>
      <c r="M300" s="383"/>
    </row>
    <row r="301" spans="2:13" ht="15.75" customHeight="1" x14ac:dyDescent="0.25">
      <c r="B301" s="400" t="s">
        <v>595</v>
      </c>
      <c r="C301" s="378" t="s">
        <v>596</v>
      </c>
      <c r="D301" s="193">
        <v>2017</v>
      </c>
      <c r="E301" s="193" t="s">
        <v>17</v>
      </c>
      <c r="F301" s="193" t="s">
        <v>17</v>
      </c>
      <c r="G301" s="193"/>
      <c r="H301" s="193"/>
      <c r="I301" s="193"/>
      <c r="J301" s="193">
        <v>2</v>
      </c>
      <c r="K301" s="487">
        <f>(SUM(J301:J303)/3)/5</f>
        <v>0.4</v>
      </c>
      <c r="L301" s="489" t="s">
        <v>597</v>
      </c>
      <c r="M301" s="381" t="s">
        <v>521</v>
      </c>
    </row>
    <row r="302" spans="2:13" ht="15.75" customHeight="1" x14ac:dyDescent="0.25">
      <c r="B302" s="404"/>
      <c r="C302" s="379"/>
      <c r="D302" s="193">
        <v>2018</v>
      </c>
      <c r="E302" s="193" t="s">
        <v>17</v>
      </c>
      <c r="F302" s="193" t="s">
        <v>17</v>
      </c>
      <c r="G302" s="193"/>
      <c r="H302" s="193"/>
      <c r="I302" s="193"/>
      <c r="J302" s="193">
        <v>2</v>
      </c>
      <c r="K302" s="488"/>
      <c r="L302" s="490"/>
      <c r="M302" s="382"/>
    </row>
    <row r="303" spans="2:13" ht="15.75" customHeight="1" x14ac:dyDescent="0.25">
      <c r="B303" s="401"/>
      <c r="C303" s="380"/>
      <c r="D303" s="192">
        <v>2019</v>
      </c>
      <c r="E303" s="193" t="s">
        <v>17</v>
      </c>
      <c r="F303" s="193" t="s">
        <v>17</v>
      </c>
      <c r="G303" s="193"/>
      <c r="H303" s="193"/>
      <c r="I303" s="193"/>
      <c r="J303" s="193">
        <v>2</v>
      </c>
      <c r="K303" s="488"/>
      <c r="L303" s="491"/>
      <c r="M303" s="383"/>
    </row>
    <row r="304" spans="2:13" ht="15.75" customHeight="1" x14ac:dyDescent="0.25">
      <c r="B304" s="381" t="s">
        <v>598</v>
      </c>
      <c r="C304" s="378" t="s">
        <v>599</v>
      </c>
      <c r="D304" s="196">
        <v>2017</v>
      </c>
      <c r="E304" s="193"/>
      <c r="F304" s="193"/>
      <c r="G304" s="193" t="s">
        <v>17</v>
      </c>
      <c r="H304" s="193"/>
      <c r="I304" s="193"/>
      <c r="J304" s="193">
        <v>1</v>
      </c>
      <c r="K304" s="487">
        <f>(SUM(J304:J306)/3)/5</f>
        <v>0.2</v>
      </c>
      <c r="L304" s="489" t="s">
        <v>600</v>
      </c>
      <c r="M304" s="381" t="s">
        <v>581</v>
      </c>
    </row>
    <row r="305" spans="2:13" ht="15.75" customHeight="1" x14ac:dyDescent="0.25">
      <c r="B305" s="382"/>
      <c r="C305" s="379"/>
      <c r="D305" s="196">
        <v>2018</v>
      </c>
      <c r="E305" s="193"/>
      <c r="F305" s="193"/>
      <c r="G305" s="193" t="s">
        <v>17</v>
      </c>
      <c r="H305" s="193"/>
      <c r="I305" s="193"/>
      <c r="J305" s="193">
        <v>1</v>
      </c>
      <c r="K305" s="488"/>
      <c r="L305" s="490"/>
      <c r="M305" s="382"/>
    </row>
    <row r="306" spans="2:13" ht="15.75" customHeight="1" x14ac:dyDescent="0.25">
      <c r="B306" s="383"/>
      <c r="C306" s="380"/>
      <c r="D306" s="196">
        <v>2019</v>
      </c>
      <c r="E306" s="193"/>
      <c r="F306" s="193"/>
      <c r="G306" s="193" t="s">
        <v>17</v>
      </c>
      <c r="H306" s="193"/>
      <c r="I306" s="193"/>
      <c r="J306" s="193">
        <v>1</v>
      </c>
      <c r="K306" s="488"/>
      <c r="L306" s="491"/>
      <c r="M306" s="383"/>
    </row>
    <row r="307" spans="2:13" ht="15.75" customHeight="1" x14ac:dyDescent="0.25">
      <c r="B307" s="381" t="s">
        <v>605</v>
      </c>
      <c r="C307" s="378" t="s">
        <v>606</v>
      </c>
      <c r="D307" s="196">
        <v>2017</v>
      </c>
      <c r="E307" s="193" t="s">
        <v>17</v>
      </c>
      <c r="F307" s="193"/>
      <c r="G307" s="193"/>
      <c r="H307" s="193"/>
      <c r="I307" s="193"/>
      <c r="J307" s="196">
        <v>1</v>
      </c>
      <c r="K307" s="487">
        <f>(SUM(J307:J309)/3)/5</f>
        <v>0.2</v>
      </c>
      <c r="L307" s="381" t="s">
        <v>607</v>
      </c>
      <c r="M307" s="381" t="s">
        <v>280</v>
      </c>
    </row>
    <row r="308" spans="2:13" ht="15.75" customHeight="1" x14ac:dyDescent="0.25">
      <c r="B308" s="382"/>
      <c r="C308" s="379"/>
      <c r="D308" s="196">
        <v>2018</v>
      </c>
      <c r="E308" s="193" t="s">
        <v>17</v>
      </c>
      <c r="F308" s="193"/>
      <c r="G308" s="193"/>
      <c r="H308" s="193"/>
      <c r="I308" s="193"/>
      <c r="J308" s="196">
        <v>1</v>
      </c>
      <c r="K308" s="488"/>
      <c r="L308" s="382"/>
      <c r="M308" s="382"/>
    </row>
    <row r="309" spans="2:13" ht="15.75" customHeight="1" x14ac:dyDescent="0.25">
      <c r="B309" s="383"/>
      <c r="C309" s="380"/>
      <c r="D309" s="196">
        <v>2019</v>
      </c>
      <c r="E309" s="193" t="s">
        <v>17</v>
      </c>
      <c r="F309" s="193"/>
      <c r="G309" s="193"/>
      <c r="H309" s="193"/>
      <c r="I309" s="193"/>
      <c r="J309" s="196">
        <v>1</v>
      </c>
      <c r="K309" s="488"/>
      <c r="L309" s="383"/>
      <c r="M309" s="383"/>
    </row>
    <row r="310" spans="2:13" ht="15.75" customHeight="1" x14ac:dyDescent="0.25">
      <c r="B310" s="381" t="s">
        <v>608</v>
      </c>
      <c r="C310" s="378" t="s">
        <v>609</v>
      </c>
      <c r="D310" s="196">
        <v>2017</v>
      </c>
      <c r="E310" s="193" t="s">
        <v>17</v>
      </c>
      <c r="F310" s="193"/>
      <c r="G310" s="193"/>
      <c r="H310" s="193"/>
      <c r="I310" s="193"/>
      <c r="J310" s="196">
        <v>1</v>
      </c>
      <c r="K310" s="487">
        <f>(SUM(J310:J312)/3)/5</f>
        <v>0.2</v>
      </c>
      <c r="L310" s="378" t="s">
        <v>610</v>
      </c>
      <c r="M310" s="381" t="s">
        <v>280</v>
      </c>
    </row>
    <row r="311" spans="2:13" ht="15.75" customHeight="1" x14ac:dyDescent="0.25">
      <c r="B311" s="382"/>
      <c r="C311" s="379"/>
      <c r="D311" s="196">
        <v>2018</v>
      </c>
      <c r="E311" s="193" t="s">
        <v>17</v>
      </c>
      <c r="F311" s="193"/>
      <c r="G311" s="193"/>
      <c r="H311" s="193"/>
      <c r="I311" s="193"/>
      <c r="J311" s="196">
        <v>1</v>
      </c>
      <c r="K311" s="488"/>
      <c r="L311" s="379"/>
      <c r="M311" s="382"/>
    </row>
    <row r="312" spans="2:13" ht="15.75" customHeight="1" x14ac:dyDescent="0.25">
      <c r="B312" s="383"/>
      <c r="C312" s="380"/>
      <c r="D312" s="196">
        <v>2019</v>
      </c>
      <c r="E312" s="193" t="s">
        <v>17</v>
      </c>
      <c r="F312" s="193"/>
      <c r="G312" s="193"/>
      <c r="H312" s="193"/>
      <c r="I312" s="193"/>
      <c r="J312" s="196">
        <v>1</v>
      </c>
      <c r="K312" s="488"/>
      <c r="L312" s="380"/>
      <c r="M312" s="383"/>
    </row>
    <row r="313" spans="2:13" ht="15.75" customHeight="1" x14ac:dyDescent="0.25">
      <c r="B313" s="381" t="s">
        <v>615</v>
      </c>
      <c r="C313" s="378" t="s">
        <v>616</v>
      </c>
      <c r="D313" s="197">
        <v>2017</v>
      </c>
      <c r="E313" s="193" t="s">
        <v>17</v>
      </c>
      <c r="F313" s="193"/>
      <c r="G313" s="193"/>
      <c r="H313" s="193"/>
      <c r="I313" s="193"/>
      <c r="J313" s="197">
        <v>1</v>
      </c>
      <c r="K313" s="487">
        <f>(SUM(J313:J315)/3)/5</f>
        <v>0.2</v>
      </c>
      <c r="L313" s="378" t="s">
        <v>617</v>
      </c>
      <c r="M313" s="381" t="s">
        <v>280</v>
      </c>
    </row>
    <row r="314" spans="2:13" ht="15.75" customHeight="1" x14ac:dyDescent="0.25">
      <c r="B314" s="382"/>
      <c r="C314" s="379"/>
      <c r="D314" s="197">
        <v>2018</v>
      </c>
      <c r="E314" s="193" t="s">
        <v>17</v>
      </c>
      <c r="F314" s="193"/>
      <c r="G314" s="193"/>
      <c r="H314" s="193"/>
      <c r="I314" s="193"/>
      <c r="J314" s="197">
        <v>1</v>
      </c>
      <c r="K314" s="488"/>
      <c r="L314" s="379"/>
      <c r="M314" s="382"/>
    </row>
    <row r="315" spans="2:13" ht="15.75" customHeight="1" x14ac:dyDescent="0.25">
      <c r="B315" s="383"/>
      <c r="C315" s="380"/>
      <c r="D315" s="197">
        <v>2019</v>
      </c>
      <c r="E315" s="193" t="s">
        <v>17</v>
      </c>
      <c r="F315" s="193"/>
      <c r="G315" s="193"/>
      <c r="H315" s="193"/>
      <c r="I315" s="193"/>
      <c r="J315" s="197">
        <v>1</v>
      </c>
      <c r="K315" s="488"/>
      <c r="L315" s="380"/>
      <c r="M315" s="383"/>
    </row>
    <row r="316" spans="2:13" ht="15.75" customHeight="1" x14ac:dyDescent="0.25">
      <c r="B316" s="381" t="s">
        <v>622</v>
      </c>
      <c r="C316" s="378" t="s">
        <v>623</v>
      </c>
      <c r="D316" s="197">
        <v>2017</v>
      </c>
      <c r="E316" s="197" t="s">
        <v>17</v>
      </c>
      <c r="F316" s="193"/>
      <c r="G316" s="193"/>
      <c r="H316" s="193"/>
      <c r="I316" s="193"/>
      <c r="J316" s="197">
        <v>1</v>
      </c>
      <c r="K316" s="487">
        <f>(SUM(J316:J318)/3)/5</f>
        <v>0.2</v>
      </c>
      <c r="L316" s="378" t="s">
        <v>624</v>
      </c>
      <c r="M316" s="381" t="s">
        <v>625</v>
      </c>
    </row>
    <row r="317" spans="2:13" ht="15.75" customHeight="1" x14ac:dyDescent="0.25">
      <c r="B317" s="382"/>
      <c r="C317" s="379"/>
      <c r="D317" s="197">
        <v>2018</v>
      </c>
      <c r="E317" s="197" t="s">
        <v>17</v>
      </c>
      <c r="F317" s="193"/>
      <c r="G317" s="193"/>
      <c r="H317" s="193"/>
      <c r="I317" s="193"/>
      <c r="J317" s="197">
        <v>1</v>
      </c>
      <c r="K317" s="488"/>
      <c r="L317" s="379"/>
      <c r="M317" s="382"/>
    </row>
    <row r="318" spans="2:13" ht="15.75" customHeight="1" x14ac:dyDescent="0.25">
      <c r="B318" s="383"/>
      <c r="C318" s="380"/>
      <c r="D318" s="197">
        <v>2019</v>
      </c>
      <c r="E318" s="197" t="s">
        <v>17</v>
      </c>
      <c r="F318" s="193"/>
      <c r="G318" s="193"/>
      <c r="H318" s="193"/>
      <c r="I318" s="193"/>
      <c r="J318" s="197">
        <v>1</v>
      </c>
      <c r="K318" s="488"/>
      <c r="L318" s="380"/>
      <c r="M318" s="383"/>
    </row>
    <row r="319" spans="2:13" ht="15.75" customHeight="1" x14ac:dyDescent="0.25">
      <c r="B319" s="381" t="s">
        <v>630</v>
      </c>
      <c r="C319" s="378" t="s">
        <v>631</v>
      </c>
      <c r="D319" s="197">
        <v>2017</v>
      </c>
      <c r="E319" s="193" t="s">
        <v>17</v>
      </c>
      <c r="F319" s="193" t="s">
        <v>17</v>
      </c>
      <c r="G319" s="193"/>
      <c r="H319" s="193"/>
      <c r="I319" s="193"/>
      <c r="J319" s="193">
        <v>2</v>
      </c>
      <c r="K319" s="487">
        <f>(SUM(J319:J321)/3)/5</f>
        <v>0.4</v>
      </c>
      <c r="L319" s="558" t="s">
        <v>632</v>
      </c>
      <c r="M319" s="378" t="s">
        <v>343</v>
      </c>
    </row>
    <row r="320" spans="2:13" ht="15.75" customHeight="1" x14ac:dyDescent="0.25">
      <c r="B320" s="382"/>
      <c r="C320" s="379"/>
      <c r="D320" s="197">
        <v>2018</v>
      </c>
      <c r="E320" s="193" t="s">
        <v>17</v>
      </c>
      <c r="F320" s="193" t="s">
        <v>17</v>
      </c>
      <c r="G320" s="193"/>
      <c r="H320" s="193"/>
      <c r="I320" s="193"/>
      <c r="J320" s="193">
        <v>2</v>
      </c>
      <c r="K320" s="488"/>
      <c r="L320" s="559"/>
      <c r="M320" s="379"/>
    </row>
    <row r="321" spans="2:13" ht="15.75" customHeight="1" x14ac:dyDescent="0.25">
      <c r="B321" s="383"/>
      <c r="C321" s="380"/>
      <c r="D321" s="197">
        <v>2019</v>
      </c>
      <c r="E321" s="193" t="s">
        <v>17</v>
      </c>
      <c r="F321" s="193" t="s">
        <v>17</v>
      </c>
      <c r="G321" s="193"/>
      <c r="H321" s="193"/>
      <c r="I321" s="193"/>
      <c r="J321" s="193">
        <v>2</v>
      </c>
      <c r="K321" s="488"/>
      <c r="L321" s="560"/>
      <c r="M321" s="380"/>
    </row>
    <row r="322" spans="2:13" ht="15.75" customHeight="1" x14ac:dyDescent="0.25">
      <c r="B322" s="381" t="s">
        <v>633</v>
      </c>
      <c r="C322" s="378" t="s">
        <v>634</v>
      </c>
      <c r="D322" s="197">
        <v>2017</v>
      </c>
      <c r="E322" s="197" t="s">
        <v>17</v>
      </c>
      <c r="F322" s="197" t="s">
        <v>17</v>
      </c>
      <c r="G322" s="193"/>
      <c r="H322" s="193"/>
      <c r="I322" s="193"/>
      <c r="J322" s="197">
        <v>2</v>
      </c>
      <c r="K322" s="487">
        <f>(SUM(J322:J324)/3)/5</f>
        <v>0.4</v>
      </c>
      <c r="L322" s="378" t="s">
        <v>617</v>
      </c>
      <c r="M322" s="381" t="s">
        <v>280</v>
      </c>
    </row>
    <row r="323" spans="2:13" ht="15.75" customHeight="1" x14ac:dyDescent="0.25">
      <c r="B323" s="382"/>
      <c r="C323" s="379"/>
      <c r="D323" s="197">
        <v>2018</v>
      </c>
      <c r="E323" s="197" t="s">
        <v>17</v>
      </c>
      <c r="F323" s="197" t="s">
        <v>17</v>
      </c>
      <c r="G323" s="193"/>
      <c r="H323" s="193"/>
      <c r="I323" s="193"/>
      <c r="J323" s="197">
        <v>2</v>
      </c>
      <c r="K323" s="488"/>
      <c r="L323" s="379"/>
      <c r="M323" s="382"/>
    </row>
    <row r="324" spans="2:13" ht="15.75" customHeight="1" x14ac:dyDescent="0.25">
      <c r="B324" s="383"/>
      <c r="C324" s="380"/>
      <c r="D324" s="197">
        <v>2019</v>
      </c>
      <c r="E324" s="197" t="s">
        <v>17</v>
      </c>
      <c r="F324" s="197" t="s">
        <v>17</v>
      </c>
      <c r="G324" s="193"/>
      <c r="H324" s="193"/>
      <c r="I324" s="193"/>
      <c r="J324" s="197">
        <v>2</v>
      </c>
      <c r="K324" s="488"/>
      <c r="L324" s="380"/>
      <c r="M324" s="383"/>
    </row>
    <row r="325" spans="2:13" ht="15.75" customHeight="1" x14ac:dyDescent="0.25">
      <c r="B325" s="381" t="s">
        <v>635</v>
      </c>
      <c r="C325" s="378" t="s">
        <v>636</v>
      </c>
      <c r="D325" s="197">
        <v>2017</v>
      </c>
      <c r="E325" s="193" t="s">
        <v>17</v>
      </c>
      <c r="F325" s="193"/>
      <c r="G325" s="193"/>
      <c r="H325" s="193"/>
      <c r="I325" s="193"/>
      <c r="J325" s="193">
        <v>1</v>
      </c>
      <c r="K325" s="487">
        <f>(SUM(J325:J327)/3)/5</f>
        <v>0.2</v>
      </c>
      <c r="L325" s="378" t="s">
        <v>637</v>
      </c>
      <c r="M325" s="378" t="s">
        <v>638</v>
      </c>
    </row>
    <row r="326" spans="2:13" ht="15.75" customHeight="1" x14ac:dyDescent="0.25">
      <c r="B326" s="382"/>
      <c r="C326" s="379"/>
      <c r="D326" s="197">
        <v>2018</v>
      </c>
      <c r="E326" s="193" t="s">
        <v>17</v>
      </c>
      <c r="F326" s="193"/>
      <c r="G326" s="193"/>
      <c r="H326" s="193"/>
      <c r="I326" s="193"/>
      <c r="J326" s="193">
        <v>1</v>
      </c>
      <c r="K326" s="488"/>
      <c r="L326" s="379"/>
      <c r="M326" s="379"/>
    </row>
    <row r="327" spans="2:13" ht="15.75" customHeight="1" x14ac:dyDescent="0.25">
      <c r="B327" s="383"/>
      <c r="C327" s="380"/>
      <c r="D327" s="197">
        <v>2019</v>
      </c>
      <c r="E327" s="193" t="s">
        <v>17</v>
      </c>
      <c r="F327" s="193"/>
      <c r="G327" s="193"/>
      <c r="H327" s="193"/>
      <c r="I327" s="193"/>
      <c r="J327" s="193">
        <v>1</v>
      </c>
      <c r="K327" s="488"/>
      <c r="L327" s="380"/>
      <c r="M327" s="380"/>
    </row>
    <row r="328" spans="2:13" ht="15.75" customHeight="1" x14ac:dyDescent="0.25">
      <c r="B328" s="381" t="s">
        <v>649</v>
      </c>
      <c r="C328" s="378" t="s">
        <v>650</v>
      </c>
      <c r="D328" s="197">
        <v>2017</v>
      </c>
      <c r="E328" s="193" t="s">
        <v>17</v>
      </c>
      <c r="F328" s="193"/>
      <c r="G328" s="193"/>
      <c r="H328" s="193"/>
      <c r="I328" s="193"/>
      <c r="J328" s="197">
        <v>1</v>
      </c>
      <c r="K328" s="487">
        <f t="shared" ref="K328:K334" si="0">(SUM(J328:J330)/3)/5</f>
        <v>0.2</v>
      </c>
      <c r="L328" s="378" t="s">
        <v>651</v>
      </c>
      <c r="M328" s="381" t="s">
        <v>280</v>
      </c>
    </row>
    <row r="329" spans="2:13" ht="15.75" customHeight="1" x14ac:dyDescent="0.25">
      <c r="B329" s="382"/>
      <c r="C329" s="379"/>
      <c r="D329" s="197">
        <v>2018</v>
      </c>
      <c r="E329" s="193" t="s">
        <v>17</v>
      </c>
      <c r="F329" s="193"/>
      <c r="G329" s="193"/>
      <c r="H329" s="193"/>
      <c r="I329" s="193"/>
      <c r="J329" s="197">
        <v>1</v>
      </c>
      <c r="K329" s="488"/>
      <c r="L329" s="379"/>
      <c r="M329" s="382"/>
    </row>
    <row r="330" spans="2:13" ht="15.75" customHeight="1" x14ac:dyDescent="0.25">
      <c r="B330" s="383"/>
      <c r="C330" s="380"/>
      <c r="D330" s="197">
        <v>2019</v>
      </c>
      <c r="E330" s="193" t="s">
        <v>17</v>
      </c>
      <c r="F330" s="193"/>
      <c r="G330" s="193"/>
      <c r="H330" s="193"/>
      <c r="I330" s="193"/>
      <c r="J330" s="197">
        <v>1</v>
      </c>
      <c r="K330" s="488"/>
      <c r="L330" s="380"/>
      <c r="M330" s="383"/>
    </row>
    <row r="331" spans="2:13" ht="15.75" customHeight="1" x14ac:dyDescent="0.25">
      <c r="B331" s="381" t="s">
        <v>657</v>
      </c>
      <c r="C331" s="378" t="s">
        <v>658</v>
      </c>
      <c r="D331" s="203">
        <v>2017</v>
      </c>
      <c r="E331" s="203" t="s">
        <v>17</v>
      </c>
      <c r="F331" s="203"/>
      <c r="G331" s="203"/>
      <c r="H331" s="203"/>
      <c r="I331" s="203"/>
      <c r="J331" s="203">
        <v>1</v>
      </c>
      <c r="K331" s="487">
        <f t="shared" si="0"/>
        <v>0.2</v>
      </c>
      <c r="L331" s="489" t="s">
        <v>659</v>
      </c>
      <c r="M331" s="381" t="s">
        <v>390</v>
      </c>
    </row>
    <row r="332" spans="2:13" ht="15.75" customHeight="1" x14ac:dyDescent="0.25">
      <c r="B332" s="382"/>
      <c r="C332" s="379"/>
      <c r="D332" s="203">
        <v>2018</v>
      </c>
      <c r="E332" s="203" t="s">
        <v>17</v>
      </c>
      <c r="F332" s="203"/>
      <c r="G332" s="203"/>
      <c r="H332" s="203"/>
      <c r="I332" s="203"/>
      <c r="J332" s="203">
        <v>1</v>
      </c>
      <c r="K332" s="488"/>
      <c r="L332" s="490"/>
      <c r="M332" s="382"/>
    </row>
    <row r="333" spans="2:13" ht="15.75" customHeight="1" x14ac:dyDescent="0.25">
      <c r="B333" s="383"/>
      <c r="C333" s="380"/>
      <c r="D333" s="203">
        <v>2019</v>
      </c>
      <c r="E333" s="203" t="s">
        <v>17</v>
      </c>
      <c r="F333" s="203"/>
      <c r="G333" s="203"/>
      <c r="H333" s="203"/>
      <c r="I333" s="203"/>
      <c r="J333" s="203">
        <v>1</v>
      </c>
      <c r="K333" s="488"/>
      <c r="L333" s="491"/>
      <c r="M333" s="383"/>
    </row>
    <row r="334" spans="2:13" ht="15.75" customHeight="1" x14ac:dyDescent="0.25">
      <c r="B334" s="381" t="s">
        <v>662</v>
      </c>
      <c r="C334" s="378" t="s">
        <v>663</v>
      </c>
      <c r="D334" s="203">
        <v>2017</v>
      </c>
      <c r="E334" s="203" t="s">
        <v>17</v>
      </c>
      <c r="F334" s="193"/>
      <c r="G334" s="193"/>
      <c r="H334" s="193"/>
      <c r="I334" s="193"/>
      <c r="J334" s="203">
        <v>1</v>
      </c>
      <c r="K334" s="487">
        <f t="shared" si="0"/>
        <v>0.2</v>
      </c>
      <c r="L334" s="489" t="s">
        <v>664</v>
      </c>
      <c r="M334" s="381" t="s">
        <v>253</v>
      </c>
    </row>
    <row r="335" spans="2:13" ht="15.75" customHeight="1" x14ac:dyDescent="0.25">
      <c r="B335" s="382"/>
      <c r="C335" s="379"/>
      <c r="D335" s="203">
        <v>2018</v>
      </c>
      <c r="E335" s="203" t="s">
        <v>17</v>
      </c>
      <c r="F335" s="193"/>
      <c r="G335" s="193"/>
      <c r="H335" s="193"/>
      <c r="I335" s="193"/>
      <c r="J335" s="203">
        <v>1</v>
      </c>
      <c r="K335" s="488"/>
      <c r="L335" s="490"/>
      <c r="M335" s="382"/>
    </row>
    <row r="336" spans="2:13" ht="15.75" customHeight="1" x14ac:dyDescent="0.25">
      <c r="B336" s="383"/>
      <c r="C336" s="380"/>
      <c r="D336" s="203">
        <v>2019</v>
      </c>
      <c r="E336" s="203" t="s">
        <v>17</v>
      </c>
      <c r="F336" s="193"/>
      <c r="G336" s="193"/>
      <c r="H336" s="193"/>
      <c r="I336" s="193"/>
      <c r="J336" s="203">
        <v>1</v>
      </c>
      <c r="K336" s="488"/>
      <c r="L336" s="491"/>
      <c r="M336" s="383"/>
    </row>
    <row r="337" spans="2:13" ht="15.75" customHeight="1" x14ac:dyDescent="0.25">
      <c r="B337" s="381" t="s">
        <v>665</v>
      </c>
      <c r="C337" s="378" t="s">
        <v>666</v>
      </c>
      <c r="D337" s="203">
        <v>2017</v>
      </c>
      <c r="E337" s="203" t="s">
        <v>17</v>
      </c>
      <c r="F337" s="193" t="s">
        <v>17</v>
      </c>
      <c r="G337" s="193" t="s">
        <v>17</v>
      </c>
      <c r="H337" s="193"/>
      <c r="I337" s="193"/>
      <c r="J337" s="203">
        <v>1</v>
      </c>
      <c r="K337" s="487">
        <f>(SUM(J337:J339)/3)/5</f>
        <v>0.2</v>
      </c>
      <c r="L337" s="498" t="s">
        <v>667</v>
      </c>
      <c r="M337" s="378" t="s">
        <v>668</v>
      </c>
    </row>
    <row r="338" spans="2:13" ht="15.75" customHeight="1" x14ac:dyDescent="0.25">
      <c r="B338" s="382"/>
      <c r="C338" s="379"/>
      <c r="D338" s="203">
        <v>2018</v>
      </c>
      <c r="E338" s="203" t="s">
        <v>17</v>
      </c>
      <c r="F338" s="193" t="s">
        <v>17</v>
      </c>
      <c r="G338" s="193" t="s">
        <v>17</v>
      </c>
      <c r="H338" s="193"/>
      <c r="I338" s="193"/>
      <c r="J338" s="203">
        <v>1</v>
      </c>
      <c r="K338" s="488"/>
      <c r="L338" s="499"/>
      <c r="M338" s="379"/>
    </row>
    <row r="339" spans="2:13" ht="15.75" customHeight="1" x14ac:dyDescent="0.25">
      <c r="B339" s="383"/>
      <c r="C339" s="380"/>
      <c r="D339" s="203">
        <v>2019</v>
      </c>
      <c r="E339" s="203" t="s">
        <v>17</v>
      </c>
      <c r="F339" s="193" t="s">
        <v>17</v>
      </c>
      <c r="G339" s="193" t="s">
        <v>17</v>
      </c>
      <c r="H339" s="193"/>
      <c r="I339" s="193"/>
      <c r="J339" s="203">
        <v>1</v>
      </c>
      <c r="K339" s="488"/>
      <c r="L339" s="500"/>
      <c r="M339" s="380"/>
    </row>
    <row r="340" spans="2:13" ht="15.75" customHeight="1" x14ac:dyDescent="0.25">
      <c r="B340" s="381" t="s">
        <v>654</v>
      </c>
      <c r="C340" s="378" t="s">
        <v>655</v>
      </c>
      <c r="D340" s="203">
        <v>2017</v>
      </c>
      <c r="E340" s="203" t="s">
        <v>17</v>
      </c>
      <c r="F340" s="193"/>
      <c r="G340" s="193"/>
      <c r="H340" s="193"/>
      <c r="I340" s="193"/>
      <c r="J340" s="203">
        <v>1</v>
      </c>
      <c r="K340" s="487">
        <f>(SUM(J340:J342)/3)/5</f>
        <v>0.2</v>
      </c>
      <c r="L340" s="489" t="s">
        <v>656</v>
      </c>
      <c r="M340" s="381" t="s">
        <v>280</v>
      </c>
    </row>
    <row r="341" spans="2:13" ht="15.75" customHeight="1" x14ac:dyDescent="0.25">
      <c r="B341" s="382"/>
      <c r="C341" s="379"/>
      <c r="D341" s="203">
        <v>2018</v>
      </c>
      <c r="E341" s="203" t="s">
        <v>17</v>
      </c>
      <c r="F341" s="193"/>
      <c r="G341" s="193"/>
      <c r="H341" s="193"/>
      <c r="I341" s="193"/>
      <c r="J341" s="203">
        <v>1</v>
      </c>
      <c r="K341" s="488"/>
      <c r="L341" s="490"/>
      <c r="M341" s="382"/>
    </row>
    <row r="342" spans="2:13" ht="15.75" customHeight="1" x14ac:dyDescent="0.25">
      <c r="B342" s="383"/>
      <c r="C342" s="380"/>
      <c r="D342" s="203">
        <v>2019</v>
      </c>
      <c r="E342" s="203" t="s">
        <v>17</v>
      </c>
      <c r="F342" s="193"/>
      <c r="G342" s="193"/>
      <c r="H342" s="193"/>
      <c r="I342" s="193"/>
      <c r="J342" s="203">
        <v>1</v>
      </c>
      <c r="K342" s="488"/>
      <c r="L342" s="491"/>
      <c r="M342" s="383"/>
    </row>
    <row r="343" spans="2:13" ht="15.75" customHeight="1" x14ac:dyDescent="0.25">
      <c r="B343" s="381" t="s">
        <v>675</v>
      </c>
      <c r="C343" s="378" t="s">
        <v>676</v>
      </c>
      <c r="D343" s="205">
        <v>2017</v>
      </c>
      <c r="E343" s="193"/>
      <c r="F343" s="193"/>
      <c r="G343" s="193"/>
      <c r="H343" s="193"/>
      <c r="I343" s="193"/>
      <c r="J343" s="193">
        <v>0</v>
      </c>
      <c r="K343" s="487">
        <f>(SUM(J343:J345)/3)/5</f>
        <v>0.13333333333333333</v>
      </c>
      <c r="L343" s="489" t="s">
        <v>677</v>
      </c>
      <c r="M343" s="381" t="s">
        <v>678</v>
      </c>
    </row>
    <row r="344" spans="2:13" ht="15.75" customHeight="1" x14ac:dyDescent="0.25">
      <c r="B344" s="382"/>
      <c r="C344" s="379"/>
      <c r="D344" s="205">
        <v>2018</v>
      </c>
      <c r="E344" s="193"/>
      <c r="F344" s="193"/>
      <c r="G344" s="193" t="s">
        <v>17</v>
      </c>
      <c r="H344" s="193"/>
      <c r="I344" s="193"/>
      <c r="J344" s="193">
        <v>1</v>
      </c>
      <c r="K344" s="488"/>
      <c r="L344" s="490"/>
      <c r="M344" s="382"/>
    </row>
    <row r="345" spans="2:13" ht="15.75" customHeight="1" x14ac:dyDescent="0.25">
      <c r="B345" s="383"/>
      <c r="C345" s="380"/>
      <c r="D345" s="205">
        <v>2019</v>
      </c>
      <c r="E345" s="193"/>
      <c r="F345" s="193"/>
      <c r="G345" s="193" t="s">
        <v>17</v>
      </c>
      <c r="H345" s="193"/>
      <c r="I345" s="193"/>
      <c r="J345" s="193">
        <v>1</v>
      </c>
      <c r="K345" s="488"/>
      <c r="L345" s="491"/>
      <c r="M345" s="383"/>
    </row>
    <row r="346" spans="2:13" ht="15.75" customHeight="1" x14ac:dyDescent="0.25">
      <c r="B346" s="381" t="s">
        <v>691</v>
      </c>
      <c r="C346" s="378" t="s">
        <v>692</v>
      </c>
      <c r="D346" s="205">
        <v>2017</v>
      </c>
      <c r="E346" s="193" t="s">
        <v>17</v>
      </c>
      <c r="F346" s="193"/>
      <c r="G346" s="193"/>
      <c r="H346" s="193"/>
      <c r="I346" s="193"/>
      <c r="J346" s="205">
        <v>1</v>
      </c>
      <c r="K346" s="487">
        <f>(SUM(J346:J348)/3)/5</f>
        <v>0.2</v>
      </c>
      <c r="L346" s="378" t="s">
        <v>693</v>
      </c>
      <c r="M346" s="381" t="s">
        <v>371</v>
      </c>
    </row>
    <row r="347" spans="2:13" ht="15.75" customHeight="1" x14ac:dyDescent="0.25">
      <c r="B347" s="382"/>
      <c r="C347" s="379"/>
      <c r="D347" s="205">
        <v>2018</v>
      </c>
      <c r="E347" s="193" t="s">
        <v>17</v>
      </c>
      <c r="F347" s="193"/>
      <c r="G347" s="193"/>
      <c r="H347" s="193"/>
      <c r="I347" s="193"/>
      <c r="J347" s="205">
        <v>1</v>
      </c>
      <c r="K347" s="488"/>
      <c r="L347" s="379"/>
      <c r="M347" s="382"/>
    </row>
    <row r="348" spans="2:13" ht="15.75" customHeight="1" x14ac:dyDescent="0.25">
      <c r="B348" s="383"/>
      <c r="C348" s="380"/>
      <c r="D348" s="205">
        <v>2019</v>
      </c>
      <c r="E348" s="193" t="s">
        <v>17</v>
      </c>
      <c r="F348" s="193"/>
      <c r="G348" s="193"/>
      <c r="H348" s="193"/>
      <c r="I348" s="193"/>
      <c r="J348" s="205">
        <v>1</v>
      </c>
      <c r="K348" s="488"/>
      <c r="L348" s="380"/>
      <c r="M348" s="383"/>
    </row>
    <row r="349" spans="2:13" ht="15.75" customHeight="1" x14ac:dyDescent="0.25">
      <c r="B349" s="381" t="s">
        <v>718</v>
      </c>
      <c r="C349" s="378" t="s">
        <v>719</v>
      </c>
      <c r="D349" s="205">
        <v>2017</v>
      </c>
      <c r="E349" s="193" t="s">
        <v>17</v>
      </c>
      <c r="F349" s="205" t="s">
        <v>17</v>
      </c>
      <c r="G349" s="193"/>
      <c r="H349" s="193"/>
      <c r="I349" s="193"/>
      <c r="J349" s="193">
        <v>2</v>
      </c>
      <c r="K349" s="487">
        <f>(SUM(J349:J351)/3)/5</f>
        <v>0.4</v>
      </c>
      <c r="L349" s="378" t="s">
        <v>720</v>
      </c>
      <c r="M349" s="381" t="s">
        <v>371</v>
      </c>
    </row>
    <row r="350" spans="2:13" ht="15.75" customHeight="1" x14ac:dyDescent="0.25">
      <c r="B350" s="382"/>
      <c r="C350" s="379"/>
      <c r="D350" s="205">
        <v>2018</v>
      </c>
      <c r="E350" s="193" t="s">
        <v>17</v>
      </c>
      <c r="F350" s="205" t="s">
        <v>17</v>
      </c>
      <c r="G350" s="193"/>
      <c r="H350" s="193"/>
      <c r="I350" s="193"/>
      <c r="J350" s="193">
        <v>2</v>
      </c>
      <c r="K350" s="488"/>
      <c r="L350" s="379"/>
      <c r="M350" s="382"/>
    </row>
    <row r="351" spans="2:13" ht="15.75" customHeight="1" x14ac:dyDescent="0.25">
      <c r="B351" s="383"/>
      <c r="C351" s="380"/>
      <c r="D351" s="205">
        <v>2019</v>
      </c>
      <c r="E351" s="193" t="s">
        <v>17</v>
      </c>
      <c r="F351" s="205" t="s">
        <v>17</v>
      </c>
      <c r="G351" s="193"/>
      <c r="H351" s="193"/>
      <c r="I351" s="193"/>
      <c r="J351" s="193">
        <v>2</v>
      </c>
      <c r="K351" s="488"/>
      <c r="L351" s="380"/>
      <c r="M351" s="383"/>
    </row>
    <row r="352" spans="2:13" ht="15.75" customHeight="1" x14ac:dyDescent="0.25">
      <c r="B352" s="381" t="s">
        <v>723</v>
      </c>
      <c r="C352" s="378" t="s">
        <v>724</v>
      </c>
      <c r="D352" s="208">
        <v>2017</v>
      </c>
      <c r="E352" s="208" t="s">
        <v>17</v>
      </c>
      <c r="F352" s="193"/>
      <c r="G352" s="193"/>
      <c r="H352" s="193"/>
      <c r="I352" s="193"/>
      <c r="J352" s="193">
        <v>1</v>
      </c>
      <c r="K352" s="487">
        <f>(SUM(J352:J354)/3)/5</f>
        <v>0.2</v>
      </c>
      <c r="L352" s="378" t="s">
        <v>725</v>
      </c>
      <c r="M352" s="381" t="s">
        <v>726</v>
      </c>
    </row>
    <row r="353" spans="2:13" ht="15.75" customHeight="1" x14ac:dyDescent="0.25">
      <c r="B353" s="382"/>
      <c r="C353" s="379"/>
      <c r="D353" s="208">
        <v>2018</v>
      </c>
      <c r="E353" s="208" t="s">
        <v>17</v>
      </c>
      <c r="F353" s="193"/>
      <c r="G353" s="193"/>
      <c r="H353" s="193"/>
      <c r="I353" s="193"/>
      <c r="J353" s="193">
        <v>1</v>
      </c>
      <c r="K353" s="488"/>
      <c r="L353" s="379"/>
      <c r="M353" s="382"/>
    </row>
    <row r="354" spans="2:13" ht="15.75" customHeight="1" x14ac:dyDescent="0.25">
      <c r="B354" s="383"/>
      <c r="C354" s="380"/>
      <c r="D354" s="208">
        <v>2019</v>
      </c>
      <c r="E354" s="208" t="s">
        <v>17</v>
      </c>
      <c r="F354" s="193"/>
      <c r="G354" s="193"/>
      <c r="H354" s="193"/>
      <c r="I354" s="193"/>
      <c r="J354" s="193">
        <v>1</v>
      </c>
      <c r="K354" s="488"/>
      <c r="L354" s="380"/>
      <c r="M354" s="383"/>
    </row>
    <row r="355" spans="2:13" ht="15.75" customHeight="1" x14ac:dyDescent="0.25">
      <c r="B355" s="381" t="s">
        <v>727</v>
      </c>
      <c r="C355" s="378" t="s">
        <v>728</v>
      </c>
      <c r="D355" s="208">
        <v>2017</v>
      </c>
      <c r="E355" s="193" t="s">
        <v>17</v>
      </c>
      <c r="F355" s="193"/>
      <c r="G355" s="193" t="s">
        <v>17</v>
      </c>
      <c r="H355" s="193"/>
      <c r="I355" s="208" t="s">
        <v>17</v>
      </c>
      <c r="J355" s="193">
        <v>3</v>
      </c>
      <c r="K355" s="487">
        <f>(SUM(J355:J357)/3)/5</f>
        <v>0.6</v>
      </c>
      <c r="L355" s="378" t="s">
        <v>729</v>
      </c>
      <c r="M355" s="381" t="s">
        <v>730</v>
      </c>
    </row>
    <row r="356" spans="2:13" ht="15.75" customHeight="1" x14ac:dyDescent="0.25">
      <c r="B356" s="382"/>
      <c r="C356" s="379"/>
      <c r="D356" s="208">
        <v>2018</v>
      </c>
      <c r="E356" s="193" t="s">
        <v>17</v>
      </c>
      <c r="F356" s="193"/>
      <c r="G356" s="193" t="s">
        <v>17</v>
      </c>
      <c r="H356" s="193"/>
      <c r="I356" s="208" t="s">
        <v>17</v>
      </c>
      <c r="J356" s="208">
        <v>3</v>
      </c>
      <c r="K356" s="488"/>
      <c r="L356" s="379"/>
      <c r="M356" s="382"/>
    </row>
    <row r="357" spans="2:13" ht="15.75" customHeight="1" x14ac:dyDescent="0.25">
      <c r="B357" s="383"/>
      <c r="C357" s="380"/>
      <c r="D357" s="208">
        <v>2019</v>
      </c>
      <c r="E357" s="193" t="s">
        <v>17</v>
      </c>
      <c r="F357" s="193"/>
      <c r="G357" s="193" t="s">
        <v>17</v>
      </c>
      <c r="H357" s="193"/>
      <c r="I357" s="208" t="s">
        <v>17</v>
      </c>
      <c r="J357" s="208">
        <v>3</v>
      </c>
      <c r="K357" s="488"/>
      <c r="L357" s="380"/>
      <c r="M357" s="383"/>
    </row>
    <row r="358" spans="2:13" ht="15.75" customHeight="1" x14ac:dyDescent="0.25">
      <c r="B358" s="381" t="s">
        <v>731</v>
      </c>
      <c r="C358" s="378" t="s">
        <v>732</v>
      </c>
      <c r="D358" s="208">
        <v>2017</v>
      </c>
      <c r="E358" s="193" t="s">
        <v>17</v>
      </c>
      <c r="F358" s="208" t="s">
        <v>17</v>
      </c>
      <c r="G358" s="208" t="s">
        <v>17</v>
      </c>
      <c r="H358" s="193"/>
      <c r="I358" s="193"/>
      <c r="J358" s="208">
        <v>3</v>
      </c>
      <c r="K358" s="487">
        <f>(SUM(J358:J360)/3)/5</f>
        <v>0.6</v>
      </c>
      <c r="L358" s="495" t="s">
        <v>733</v>
      </c>
      <c r="M358" s="378" t="s">
        <v>734</v>
      </c>
    </row>
    <row r="359" spans="2:13" ht="15.75" customHeight="1" x14ac:dyDescent="0.25">
      <c r="B359" s="382"/>
      <c r="C359" s="379"/>
      <c r="D359" s="208">
        <v>2018</v>
      </c>
      <c r="E359" s="193" t="s">
        <v>17</v>
      </c>
      <c r="F359" s="208" t="s">
        <v>17</v>
      </c>
      <c r="G359" s="208" t="s">
        <v>17</v>
      </c>
      <c r="H359" s="193"/>
      <c r="I359" s="193"/>
      <c r="J359" s="208">
        <v>3</v>
      </c>
      <c r="K359" s="488"/>
      <c r="L359" s="496"/>
      <c r="M359" s="379"/>
    </row>
    <row r="360" spans="2:13" ht="15.75" customHeight="1" x14ac:dyDescent="0.25">
      <c r="B360" s="383"/>
      <c r="C360" s="380"/>
      <c r="D360" s="208">
        <v>2019</v>
      </c>
      <c r="E360" s="193" t="s">
        <v>17</v>
      </c>
      <c r="F360" s="208" t="s">
        <v>17</v>
      </c>
      <c r="G360" s="208" t="s">
        <v>17</v>
      </c>
      <c r="H360" s="193"/>
      <c r="I360" s="193"/>
      <c r="J360" s="208">
        <v>3</v>
      </c>
      <c r="K360" s="488"/>
      <c r="L360" s="497"/>
      <c r="M360" s="380"/>
    </row>
    <row r="361" spans="2:13" ht="15.75" customHeight="1" x14ac:dyDescent="0.25">
      <c r="B361" s="381" t="s">
        <v>735</v>
      </c>
      <c r="C361" s="378" t="s">
        <v>736</v>
      </c>
      <c r="D361" s="208">
        <v>2017</v>
      </c>
      <c r="E361" s="193" t="s">
        <v>17</v>
      </c>
      <c r="F361" s="193"/>
      <c r="G361" s="193"/>
      <c r="H361" s="193"/>
      <c r="I361" s="193"/>
      <c r="J361" s="193">
        <v>1</v>
      </c>
      <c r="K361" s="487">
        <f>(SUM(J361:J363)/3)/5</f>
        <v>0.2</v>
      </c>
      <c r="L361" s="378" t="s">
        <v>737</v>
      </c>
      <c r="M361" s="378" t="s">
        <v>738</v>
      </c>
    </row>
    <row r="362" spans="2:13" ht="15.75" customHeight="1" x14ac:dyDescent="0.25">
      <c r="B362" s="382"/>
      <c r="C362" s="379"/>
      <c r="D362" s="208">
        <v>2018</v>
      </c>
      <c r="E362" s="208" t="s">
        <v>17</v>
      </c>
      <c r="F362" s="193"/>
      <c r="G362" s="193"/>
      <c r="H362" s="193"/>
      <c r="I362" s="193"/>
      <c r="J362" s="193">
        <v>1</v>
      </c>
      <c r="K362" s="488"/>
      <c r="L362" s="379"/>
      <c r="M362" s="379"/>
    </row>
    <row r="363" spans="2:13" ht="15.75" customHeight="1" x14ac:dyDescent="0.25">
      <c r="B363" s="383"/>
      <c r="C363" s="380"/>
      <c r="D363" s="208">
        <v>2019</v>
      </c>
      <c r="E363" s="208" t="s">
        <v>17</v>
      </c>
      <c r="F363" s="193"/>
      <c r="G363" s="193"/>
      <c r="H363" s="193"/>
      <c r="I363" s="193"/>
      <c r="J363" s="193">
        <v>1</v>
      </c>
      <c r="K363" s="488"/>
      <c r="L363" s="380"/>
      <c r="M363" s="380"/>
    </row>
    <row r="364" spans="2:13" ht="15.75" customHeight="1" x14ac:dyDescent="0.25">
      <c r="B364" s="381" t="s">
        <v>739</v>
      </c>
      <c r="C364" s="378" t="s">
        <v>740</v>
      </c>
      <c r="D364" s="209">
        <v>2017</v>
      </c>
      <c r="E364" s="193" t="s">
        <v>17</v>
      </c>
      <c r="F364" s="193"/>
      <c r="G364" s="193"/>
      <c r="H364" s="193"/>
      <c r="I364" s="193"/>
      <c r="J364" s="209">
        <v>1</v>
      </c>
      <c r="K364" s="487">
        <f>(SUM(J364:J366)/3)/5</f>
        <v>0.2</v>
      </c>
      <c r="L364" s="492" t="s">
        <v>741</v>
      </c>
      <c r="M364" s="440" t="s">
        <v>742</v>
      </c>
    </row>
    <row r="365" spans="2:13" ht="15.75" customHeight="1" x14ac:dyDescent="0.25">
      <c r="B365" s="382"/>
      <c r="C365" s="379"/>
      <c r="D365" s="209">
        <v>2018</v>
      </c>
      <c r="E365" s="193" t="s">
        <v>17</v>
      </c>
      <c r="F365" s="193"/>
      <c r="G365" s="193"/>
      <c r="H365" s="193"/>
      <c r="I365" s="193"/>
      <c r="J365" s="209">
        <v>1</v>
      </c>
      <c r="K365" s="488"/>
      <c r="L365" s="493"/>
      <c r="M365" s="440"/>
    </row>
    <row r="366" spans="2:13" ht="15.75" customHeight="1" x14ac:dyDescent="0.25">
      <c r="B366" s="383"/>
      <c r="C366" s="380"/>
      <c r="D366" s="209">
        <v>2019</v>
      </c>
      <c r="E366" s="193" t="s">
        <v>17</v>
      </c>
      <c r="F366" s="193"/>
      <c r="G366" s="193"/>
      <c r="H366" s="193"/>
      <c r="I366" s="193"/>
      <c r="J366" s="209">
        <v>1</v>
      </c>
      <c r="K366" s="488"/>
      <c r="L366" s="494"/>
      <c r="M366" s="440"/>
    </row>
    <row r="367" spans="2:13" ht="15.75" customHeight="1" x14ac:dyDescent="0.25">
      <c r="B367" s="381" t="s">
        <v>743</v>
      </c>
      <c r="C367" s="378" t="s">
        <v>744</v>
      </c>
      <c r="D367" s="209">
        <v>2017</v>
      </c>
      <c r="E367" s="193" t="s">
        <v>17</v>
      </c>
      <c r="F367" s="193"/>
      <c r="G367" s="193"/>
      <c r="H367" s="193"/>
      <c r="I367" s="193"/>
      <c r="J367" s="209">
        <v>1</v>
      </c>
      <c r="K367" s="487">
        <f>(SUM(J367:J369)/3)/5</f>
        <v>0.2</v>
      </c>
      <c r="L367" s="378" t="s">
        <v>737</v>
      </c>
      <c r="M367" s="378" t="s">
        <v>738</v>
      </c>
    </row>
    <row r="368" spans="2:13" ht="15.75" customHeight="1" x14ac:dyDescent="0.25">
      <c r="B368" s="382"/>
      <c r="C368" s="379"/>
      <c r="D368" s="209">
        <v>2018</v>
      </c>
      <c r="E368" s="193" t="s">
        <v>17</v>
      </c>
      <c r="F368" s="193"/>
      <c r="G368" s="193"/>
      <c r="H368" s="193"/>
      <c r="I368" s="193"/>
      <c r="J368" s="209">
        <v>1</v>
      </c>
      <c r="K368" s="488"/>
      <c r="L368" s="379"/>
      <c r="M368" s="379"/>
    </row>
    <row r="369" spans="2:13" ht="15.75" customHeight="1" x14ac:dyDescent="0.25">
      <c r="B369" s="383"/>
      <c r="C369" s="380"/>
      <c r="D369" s="209">
        <v>2019</v>
      </c>
      <c r="E369" s="193" t="s">
        <v>17</v>
      </c>
      <c r="F369" s="193"/>
      <c r="G369" s="193"/>
      <c r="H369" s="193"/>
      <c r="I369" s="193"/>
      <c r="J369" s="209">
        <v>1</v>
      </c>
      <c r="K369" s="488"/>
      <c r="L369" s="380"/>
      <c r="M369" s="380"/>
    </row>
    <row r="370" spans="2:13" ht="15.75" customHeight="1" x14ac:dyDescent="0.25">
      <c r="B370" s="381" t="s">
        <v>757</v>
      </c>
      <c r="C370" s="378" t="s">
        <v>758</v>
      </c>
      <c r="D370" s="210">
        <v>2017</v>
      </c>
      <c r="E370" s="193" t="s">
        <v>17</v>
      </c>
      <c r="F370" s="210" t="s">
        <v>17</v>
      </c>
      <c r="G370" s="193"/>
      <c r="H370" s="193"/>
      <c r="I370" s="193"/>
      <c r="J370" s="210">
        <v>2</v>
      </c>
      <c r="K370" s="487">
        <f>(SUM(J370:J372)/3)/5</f>
        <v>0.4</v>
      </c>
      <c r="L370" s="489" t="s">
        <v>759</v>
      </c>
      <c r="M370" s="381" t="s">
        <v>371</v>
      </c>
    </row>
    <row r="371" spans="2:13" ht="15.75" customHeight="1" x14ac:dyDescent="0.25">
      <c r="B371" s="382"/>
      <c r="C371" s="379"/>
      <c r="D371" s="210">
        <v>2018</v>
      </c>
      <c r="E371" s="193" t="s">
        <v>17</v>
      </c>
      <c r="F371" s="210" t="s">
        <v>17</v>
      </c>
      <c r="G371" s="193"/>
      <c r="H371" s="193"/>
      <c r="I371" s="193"/>
      <c r="J371" s="210">
        <v>2</v>
      </c>
      <c r="K371" s="488"/>
      <c r="L371" s="490"/>
      <c r="M371" s="382"/>
    </row>
    <row r="372" spans="2:13" ht="15.75" customHeight="1" x14ac:dyDescent="0.25">
      <c r="B372" s="383"/>
      <c r="C372" s="380"/>
      <c r="D372" s="210">
        <v>2019</v>
      </c>
      <c r="E372" s="193" t="s">
        <v>17</v>
      </c>
      <c r="F372" s="210" t="s">
        <v>17</v>
      </c>
      <c r="G372" s="193"/>
      <c r="H372" s="193"/>
      <c r="I372" s="193"/>
      <c r="J372" s="210">
        <v>2</v>
      </c>
      <c r="K372" s="488"/>
      <c r="L372" s="491"/>
      <c r="M372" s="383"/>
    </row>
    <row r="373" spans="2:13" ht="15.75" customHeight="1" x14ac:dyDescent="0.25">
      <c r="B373" s="381" t="s">
        <v>760</v>
      </c>
      <c r="C373" s="378" t="s">
        <v>761</v>
      </c>
      <c r="D373" s="210">
        <v>2017</v>
      </c>
      <c r="E373" s="193" t="s">
        <v>17</v>
      </c>
      <c r="F373" s="193"/>
      <c r="G373" s="193" t="s">
        <v>17</v>
      </c>
      <c r="H373" s="193"/>
      <c r="I373" s="193"/>
      <c r="J373" s="210">
        <v>2</v>
      </c>
      <c r="K373" s="487">
        <f>(SUM(J373:J375)/3)/5</f>
        <v>0.4</v>
      </c>
      <c r="L373" s="378" t="s">
        <v>762</v>
      </c>
      <c r="M373" s="381" t="s">
        <v>763</v>
      </c>
    </row>
    <row r="374" spans="2:13" ht="15.75" customHeight="1" x14ac:dyDescent="0.25">
      <c r="B374" s="382"/>
      <c r="C374" s="379"/>
      <c r="D374" s="210">
        <v>2018</v>
      </c>
      <c r="E374" s="193" t="s">
        <v>17</v>
      </c>
      <c r="F374" s="193"/>
      <c r="G374" s="193" t="s">
        <v>17</v>
      </c>
      <c r="H374" s="193"/>
      <c r="I374" s="193"/>
      <c r="J374" s="210">
        <v>2</v>
      </c>
      <c r="K374" s="488"/>
      <c r="L374" s="379"/>
      <c r="M374" s="382"/>
    </row>
    <row r="375" spans="2:13" ht="15.75" customHeight="1" x14ac:dyDescent="0.25">
      <c r="B375" s="383"/>
      <c r="C375" s="380"/>
      <c r="D375" s="210">
        <v>2019</v>
      </c>
      <c r="E375" s="193" t="s">
        <v>17</v>
      </c>
      <c r="F375" s="193"/>
      <c r="G375" s="193" t="s">
        <v>17</v>
      </c>
      <c r="H375" s="193"/>
      <c r="I375" s="193"/>
      <c r="J375" s="210">
        <v>2</v>
      </c>
      <c r="K375" s="488"/>
      <c r="L375" s="380"/>
      <c r="M375" s="383"/>
    </row>
    <row r="376" spans="2:13" ht="15.75" customHeight="1" x14ac:dyDescent="0.25">
      <c r="B376" s="381" t="s">
        <v>770</v>
      </c>
      <c r="C376" s="378" t="s">
        <v>771</v>
      </c>
      <c r="D376" s="210">
        <v>2017</v>
      </c>
      <c r="E376" s="193" t="s">
        <v>17</v>
      </c>
      <c r="F376" s="193" t="s">
        <v>17</v>
      </c>
      <c r="G376" s="210" t="s">
        <v>17</v>
      </c>
      <c r="H376" s="210" t="s">
        <v>17</v>
      </c>
      <c r="I376" s="193"/>
      <c r="J376" s="193">
        <v>4</v>
      </c>
      <c r="K376" s="487">
        <f>(SUM(J376:J378)/3)/5</f>
        <v>0.8</v>
      </c>
      <c r="L376" s="378" t="s">
        <v>772</v>
      </c>
      <c r="M376" s="378" t="s">
        <v>773</v>
      </c>
    </row>
    <row r="377" spans="2:13" ht="15.75" customHeight="1" x14ac:dyDescent="0.25">
      <c r="B377" s="382"/>
      <c r="C377" s="379"/>
      <c r="D377" s="210">
        <v>2018</v>
      </c>
      <c r="E377" s="193" t="s">
        <v>17</v>
      </c>
      <c r="F377" s="193" t="s">
        <v>17</v>
      </c>
      <c r="G377" s="210" t="s">
        <v>17</v>
      </c>
      <c r="H377" s="210" t="s">
        <v>17</v>
      </c>
      <c r="I377" s="193"/>
      <c r="J377" s="193">
        <v>4</v>
      </c>
      <c r="K377" s="488"/>
      <c r="L377" s="379"/>
      <c r="M377" s="379"/>
    </row>
    <row r="378" spans="2:13" ht="15.75" customHeight="1" x14ac:dyDescent="0.25">
      <c r="B378" s="383"/>
      <c r="C378" s="380"/>
      <c r="D378" s="210">
        <v>2019</v>
      </c>
      <c r="E378" s="193" t="s">
        <v>17</v>
      </c>
      <c r="F378" s="193" t="s">
        <v>17</v>
      </c>
      <c r="G378" s="210" t="s">
        <v>17</v>
      </c>
      <c r="H378" s="210" t="s">
        <v>17</v>
      </c>
      <c r="I378" s="193"/>
      <c r="J378" s="193">
        <v>4</v>
      </c>
      <c r="K378" s="488"/>
      <c r="L378" s="380"/>
      <c r="M378" s="380"/>
    </row>
    <row r="379" spans="2:13" ht="15.75" customHeight="1" x14ac:dyDescent="0.25">
      <c r="B379" s="381" t="s">
        <v>774</v>
      </c>
      <c r="C379" s="378" t="s">
        <v>775</v>
      </c>
      <c r="D379" s="210">
        <v>2017</v>
      </c>
      <c r="E379" s="193" t="s">
        <v>17</v>
      </c>
      <c r="F379" s="210" t="s">
        <v>17</v>
      </c>
      <c r="G379" s="210" t="s">
        <v>17</v>
      </c>
      <c r="H379" s="210" t="s">
        <v>17</v>
      </c>
      <c r="I379" s="193" t="s">
        <v>17</v>
      </c>
      <c r="J379" s="193">
        <v>5</v>
      </c>
      <c r="K379" s="487">
        <f>(SUM(J379:J381)/3)/5</f>
        <v>1</v>
      </c>
      <c r="L379" s="378" t="s">
        <v>776</v>
      </c>
      <c r="M379" s="381" t="s">
        <v>763</v>
      </c>
    </row>
    <row r="380" spans="2:13" ht="15.75" customHeight="1" x14ac:dyDescent="0.25">
      <c r="B380" s="382"/>
      <c r="C380" s="379"/>
      <c r="D380" s="210">
        <v>2018</v>
      </c>
      <c r="E380" s="210" t="s">
        <v>17</v>
      </c>
      <c r="F380" s="210" t="s">
        <v>17</v>
      </c>
      <c r="G380" s="210" t="s">
        <v>17</v>
      </c>
      <c r="H380" s="210" t="s">
        <v>17</v>
      </c>
      <c r="I380" s="193" t="s">
        <v>17</v>
      </c>
      <c r="J380" s="193">
        <v>5</v>
      </c>
      <c r="K380" s="488"/>
      <c r="L380" s="379"/>
      <c r="M380" s="382"/>
    </row>
    <row r="381" spans="2:13" ht="15.75" customHeight="1" x14ac:dyDescent="0.25">
      <c r="B381" s="383"/>
      <c r="C381" s="380"/>
      <c r="D381" s="210">
        <v>2019</v>
      </c>
      <c r="E381" s="210" t="s">
        <v>17</v>
      </c>
      <c r="F381" s="210" t="s">
        <v>17</v>
      </c>
      <c r="G381" s="210" t="s">
        <v>17</v>
      </c>
      <c r="H381" s="210" t="s">
        <v>17</v>
      </c>
      <c r="I381" s="193" t="s">
        <v>17</v>
      </c>
      <c r="J381" s="193">
        <v>5</v>
      </c>
      <c r="K381" s="488"/>
      <c r="L381" s="380"/>
      <c r="M381" s="383"/>
    </row>
    <row r="382" spans="2:13" ht="15.75" customHeight="1" x14ac:dyDescent="0.25">
      <c r="B382" s="381" t="s">
        <v>786</v>
      </c>
      <c r="C382" s="378" t="s">
        <v>787</v>
      </c>
      <c r="D382" s="213">
        <v>2017</v>
      </c>
      <c r="E382" s="213" t="s">
        <v>17</v>
      </c>
      <c r="F382" s="193"/>
      <c r="G382" s="193"/>
      <c r="H382" s="193"/>
      <c r="I382" s="193"/>
      <c r="J382" s="193">
        <v>1</v>
      </c>
      <c r="K382" s="487">
        <f>(SUM(J382:J384)/3)/5</f>
        <v>0.2</v>
      </c>
      <c r="L382" s="378" t="s">
        <v>788</v>
      </c>
      <c r="M382" s="381" t="s">
        <v>371</v>
      </c>
    </row>
    <row r="383" spans="2:13" ht="15.75" customHeight="1" x14ac:dyDescent="0.25">
      <c r="B383" s="382"/>
      <c r="C383" s="379"/>
      <c r="D383" s="213">
        <v>2018</v>
      </c>
      <c r="E383" s="213" t="s">
        <v>17</v>
      </c>
      <c r="F383" s="193"/>
      <c r="G383" s="193"/>
      <c r="H383" s="193"/>
      <c r="I383" s="193"/>
      <c r="J383" s="193">
        <v>1</v>
      </c>
      <c r="K383" s="488"/>
      <c r="L383" s="379"/>
      <c r="M383" s="382"/>
    </row>
    <row r="384" spans="2:13" ht="15.75" customHeight="1" x14ac:dyDescent="0.25">
      <c r="B384" s="383"/>
      <c r="C384" s="380"/>
      <c r="D384" s="213">
        <v>2019</v>
      </c>
      <c r="E384" s="213" t="s">
        <v>17</v>
      </c>
      <c r="F384" s="193"/>
      <c r="G384" s="193"/>
      <c r="H384" s="193"/>
      <c r="I384" s="193"/>
      <c r="J384" s="193">
        <v>1</v>
      </c>
      <c r="K384" s="488"/>
      <c r="L384" s="380"/>
      <c r="M384" s="383"/>
    </row>
    <row r="385" spans="2:13" ht="15.75" customHeight="1" x14ac:dyDescent="0.25">
      <c r="B385" s="381" t="s">
        <v>789</v>
      </c>
      <c r="C385" s="378" t="s">
        <v>790</v>
      </c>
      <c r="D385" s="213">
        <v>2017</v>
      </c>
      <c r="E385" s="193"/>
      <c r="F385" s="193"/>
      <c r="G385" s="193"/>
      <c r="H385" s="193"/>
      <c r="I385" s="193"/>
      <c r="J385" s="193">
        <v>0</v>
      </c>
      <c r="K385" s="487">
        <f>(SUM(J385:J387)/3)/5</f>
        <v>6.6666666666666666E-2</v>
      </c>
      <c r="L385" s="378" t="s">
        <v>791</v>
      </c>
      <c r="M385" s="381" t="s">
        <v>371</v>
      </c>
    </row>
    <row r="386" spans="2:13" ht="15.75" customHeight="1" x14ac:dyDescent="0.25">
      <c r="B386" s="382"/>
      <c r="C386" s="379"/>
      <c r="D386" s="213">
        <v>2018</v>
      </c>
      <c r="E386" s="193"/>
      <c r="F386" s="193"/>
      <c r="G386" s="193"/>
      <c r="H386" s="193"/>
      <c r="I386" s="193"/>
      <c r="J386" s="193">
        <v>0</v>
      </c>
      <c r="K386" s="488"/>
      <c r="L386" s="379"/>
      <c r="M386" s="382"/>
    </row>
    <row r="387" spans="2:13" ht="15.75" customHeight="1" x14ac:dyDescent="0.25">
      <c r="B387" s="383"/>
      <c r="C387" s="380"/>
      <c r="D387" s="213">
        <v>2019</v>
      </c>
      <c r="E387" s="193" t="s">
        <v>17</v>
      </c>
      <c r="F387" s="193"/>
      <c r="G387" s="193"/>
      <c r="H387" s="193"/>
      <c r="I387" s="193"/>
      <c r="J387" s="193">
        <v>1</v>
      </c>
      <c r="K387" s="488"/>
      <c r="L387" s="380"/>
      <c r="M387" s="383"/>
    </row>
    <row r="388" spans="2:13" ht="15.75" customHeight="1" x14ac:dyDescent="0.25">
      <c r="B388" s="381" t="s">
        <v>794</v>
      </c>
      <c r="C388" s="378" t="s">
        <v>795</v>
      </c>
      <c r="D388" s="213">
        <v>2017</v>
      </c>
      <c r="E388" s="193" t="s">
        <v>17</v>
      </c>
      <c r="F388" s="193" t="s">
        <v>17</v>
      </c>
      <c r="G388" s="193" t="s">
        <v>17</v>
      </c>
      <c r="H388" s="193"/>
      <c r="I388" s="193"/>
      <c r="J388" s="193">
        <v>3</v>
      </c>
      <c r="K388" s="487">
        <f t="shared" ref="K388" si="1">(SUM(J388:J390)/3)/5</f>
        <v>0.6</v>
      </c>
      <c r="L388" s="378" t="s">
        <v>796</v>
      </c>
      <c r="M388" s="378" t="s">
        <v>797</v>
      </c>
    </row>
    <row r="389" spans="2:13" ht="15.75" customHeight="1" x14ac:dyDescent="0.25">
      <c r="B389" s="382"/>
      <c r="C389" s="379"/>
      <c r="D389" s="213">
        <v>2018</v>
      </c>
      <c r="E389" s="193" t="s">
        <v>17</v>
      </c>
      <c r="F389" s="193" t="s">
        <v>17</v>
      </c>
      <c r="G389" s="193" t="s">
        <v>17</v>
      </c>
      <c r="H389" s="193"/>
      <c r="I389" s="193"/>
      <c r="J389" s="193">
        <v>3</v>
      </c>
      <c r="K389" s="488"/>
      <c r="L389" s="379"/>
      <c r="M389" s="379"/>
    </row>
    <row r="390" spans="2:13" ht="15.75" customHeight="1" x14ac:dyDescent="0.25">
      <c r="B390" s="383"/>
      <c r="C390" s="380"/>
      <c r="D390" s="213">
        <v>2019</v>
      </c>
      <c r="E390" s="193" t="s">
        <v>17</v>
      </c>
      <c r="F390" s="193" t="s">
        <v>17</v>
      </c>
      <c r="G390" s="193" t="s">
        <v>17</v>
      </c>
      <c r="H390" s="193"/>
      <c r="I390" s="193"/>
      <c r="J390" s="193">
        <v>3</v>
      </c>
      <c r="K390" s="488"/>
      <c r="L390" s="380"/>
      <c r="M390" s="380"/>
    </row>
    <row r="391" spans="2:13" ht="15.75" customHeight="1" x14ac:dyDescent="0.25">
      <c r="B391" s="381" t="s">
        <v>800</v>
      </c>
      <c r="C391" s="378" t="s">
        <v>801</v>
      </c>
      <c r="D391" s="213">
        <v>2017</v>
      </c>
      <c r="E391" s="213" t="s">
        <v>17</v>
      </c>
      <c r="F391" s="193"/>
      <c r="G391" s="213" t="s">
        <v>17</v>
      </c>
      <c r="H391" s="193"/>
      <c r="I391" s="193"/>
      <c r="J391" s="193">
        <v>2</v>
      </c>
      <c r="K391" s="487">
        <f t="shared" ref="K391" si="2">(SUM(J391:J393)/3)/5</f>
        <v>0.4</v>
      </c>
      <c r="L391" s="378" t="s">
        <v>802</v>
      </c>
      <c r="M391" s="378" t="s">
        <v>803</v>
      </c>
    </row>
    <row r="392" spans="2:13" ht="15.75" customHeight="1" x14ac:dyDescent="0.25">
      <c r="B392" s="382"/>
      <c r="C392" s="379"/>
      <c r="D392" s="213">
        <v>2018</v>
      </c>
      <c r="E392" s="213" t="s">
        <v>17</v>
      </c>
      <c r="F392" s="193"/>
      <c r="G392" s="213" t="s">
        <v>17</v>
      </c>
      <c r="H392" s="193"/>
      <c r="I392" s="193"/>
      <c r="J392" s="193">
        <v>2</v>
      </c>
      <c r="K392" s="488"/>
      <c r="L392" s="379"/>
      <c r="M392" s="379"/>
    </row>
    <row r="393" spans="2:13" ht="15.75" customHeight="1" x14ac:dyDescent="0.25">
      <c r="B393" s="383"/>
      <c r="C393" s="380"/>
      <c r="D393" s="213">
        <v>2019</v>
      </c>
      <c r="E393" s="213" t="s">
        <v>17</v>
      </c>
      <c r="F393" s="193"/>
      <c r="G393" s="213" t="s">
        <v>17</v>
      </c>
      <c r="H393" s="193"/>
      <c r="I393" s="193"/>
      <c r="J393" s="193">
        <v>2</v>
      </c>
      <c r="K393" s="488"/>
      <c r="L393" s="380"/>
      <c r="M393" s="380"/>
    </row>
    <row r="394" spans="2:13" ht="15.75" customHeight="1" x14ac:dyDescent="0.25">
      <c r="B394" s="381" t="s">
        <v>814</v>
      </c>
      <c r="C394" s="378" t="s">
        <v>815</v>
      </c>
      <c r="D394" s="213">
        <v>2017</v>
      </c>
      <c r="E394" s="193" t="s">
        <v>17</v>
      </c>
      <c r="F394" s="193"/>
      <c r="G394" s="193"/>
      <c r="H394" s="193"/>
      <c r="I394" s="193"/>
      <c r="J394" s="193">
        <v>1</v>
      </c>
      <c r="K394" s="487">
        <f t="shared" ref="K394" si="3">(SUM(J394:J396)/3)/5</f>
        <v>0.2</v>
      </c>
      <c r="L394" s="378" t="s">
        <v>816</v>
      </c>
      <c r="M394" s="378" t="s">
        <v>817</v>
      </c>
    </row>
    <row r="395" spans="2:13" ht="15.75" customHeight="1" x14ac:dyDescent="0.25">
      <c r="B395" s="382"/>
      <c r="C395" s="379"/>
      <c r="D395" s="213">
        <v>2018</v>
      </c>
      <c r="E395" s="193" t="s">
        <v>17</v>
      </c>
      <c r="F395" s="193"/>
      <c r="G395" s="193"/>
      <c r="H395" s="193"/>
      <c r="I395" s="193"/>
      <c r="J395" s="193">
        <v>1</v>
      </c>
      <c r="K395" s="488"/>
      <c r="L395" s="379"/>
      <c r="M395" s="379"/>
    </row>
    <row r="396" spans="2:13" ht="15.75" customHeight="1" x14ac:dyDescent="0.25">
      <c r="B396" s="383"/>
      <c r="C396" s="380"/>
      <c r="D396" s="213">
        <v>2019</v>
      </c>
      <c r="E396" s="193" t="s">
        <v>17</v>
      </c>
      <c r="F396" s="193"/>
      <c r="G396" s="193"/>
      <c r="H396" s="193"/>
      <c r="I396" s="193"/>
      <c r="J396" s="193">
        <v>1</v>
      </c>
      <c r="K396" s="488"/>
      <c r="L396" s="380"/>
      <c r="M396" s="380"/>
    </row>
    <row r="397" spans="2:13" ht="15.75" customHeight="1" x14ac:dyDescent="0.25">
      <c r="B397" s="381" t="s">
        <v>818</v>
      </c>
      <c r="C397" s="378" t="s">
        <v>819</v>
      </c>
      <c r="D397" s="213">
        <v>2017</v>
      </c>
      <c r="E397" s="193" t="s">
        <v>17</v>
      </c>
      <c r="F397" s="193"/>
      <c r="G397" s="193"/>
      <c r="H397" s="193"/>
      <c r="I397" s="193"/>
      <c r="J397" s="193">
        <v>1</v>
      </c>
      <c r="K397" s="487">
        <f t="shared" ref="K397" si="4">(SUM(J397:J399)/3)/5</f>
        <v>0.2</v>
      </c>
      <c r="L397" s="378" t="s">
        <v>820</v>
      </c>
      <c r="M397" s="381" t="s">
        <v>371</v>
      </c>
    </row>
    <row r="398" spans="2:13" ht="15.75" customHeight="1" x14ac:dyDescent="0.25">
      <c r="B398" s="382"/>
      <c r="C398" s="379"/>
      <c r="D398" s="213">
        <v>2018</v>
      </c>
      <c r="E398" s="193" t="s">
        <v>17</v>
      </c>
      <c r="F398" s="193"/>
      <c r="G398" s="193"/>
      <c r="H398" s="193"/>
      <c r="I398" s="193"/>
      <c r="J398" s="193">
        <v>1</v>
      </c>
      <c r="K398" s="488"/>
      <c r="L398" s="379"/>
      <c r="M398" s="382"/>
    </row>
    <row r="399" spans="2:13" ht="15.75" customHeight="1" x14ac:dyDescent="0.25">
      <c r="B399" s="383"/>
      <c r="C399" s="380"/>
      <c r="D399" s="213">
        <v>2019</v>
      </c>
      <c r="E399" s="193" t="s">
        <v>17</v>
      </c>
      <c r="F399" s="193"/>
      <c r="G399" s="193"/>
      <c r="H399" s="193"/>
      <c r="I399" s="193"/>
      <c r="J399" s="193">
        <v>1</v>
      </c>
      <c r="K399" s="488"/>
      <c r="L399" s="380"/>
      <c r="M399" s="383"/>
    </row>
    <row r="400" spans="2:13" ht="15.75" customHeight="1" x14ac:dyDescent="0.25">
      <c r="B400" s="381" t="s">
        <v>841</v>
      </c>
      <c r="C400" s="378" t="s">
        <v>842</v>
      </c>
      <c r="D400" s="214">
        <v>2017</v>
      </c>
      <c r="E400" s="193" t="s">
        <v>17</v>
      </c>
      <c r="F400" s="193"/>
      <c r="G400" s="193" t="s">
        <v>17</v>
      </c>
      <c r="H400" s="193"/>
      <c r="I400" s="193"/>
      <c r="J400" s="193">
        <v>2</v>
      </c>
      <c r="K400" s="487">
        <f t="shared" ref="K400:K403" si="5">(SUM(J400:J402)/3)/5</f>
        <v>0.4</v>
      </c>
      <c r="L400" s="489" t="s">
        <v>759</v>
      </c>
      <c r="M400" s="381" t="s">
        <v>371</v>
      </c>
    </row>
    <row r="401" spans="2:13" ht="15.75" customHeight="1" x14ac:dyDescent="0.25">
      <c r="B401" s="382"/>
      <c r="C401" s="379"/>
      <c r="D401" s="214">
        <v>2018</v>
      </c>
      <c r="E401" s="193" t="s">
        <v>17</v>
      </c>
      <c r="F401" s="193"/>
      <c r="G401" s="193" t="s">
        <v>17</v>
      </c>
      <c r="H401" s="193"/>
      <c r="I401" s="193"/>
      <c r="J401" s="193">
        <v>2</v>
      </c>
      <c r="K401" s="488"/>
      <c r="L401" s="490"/>
      <c r="M401" s="382"/>
    </row>
    <row r="402" spans="2:13" ht="15.75" customHeight="1" x14ac:dyDescent="0.25">
      <c r="B402" s="383"/>
      <c r="C402" s="380"/>
      <c r="D402" s="214">
        <v>2019</v>
      </c>
      <c r="E402" s="193" t="s">
        <v>17</v>
      </c>
      <c r="F402" s="193"/>
      <c r="G402" s="193" t="s">
        <v>17</v>
      </c>
      <c r="H402" s="193"/>
      <c r="I402" s="193"/>
      <c r="J402" s="193">
        <v>2</v>
      </c>
      <c r="K402" s="488"/>
      <c r="L402" s="491"/>
      <c r="M402" s="383"/>
    </row>
    <row r="403" spans="2:13" ht="15.75" customHeight="1" x14ac:dyDescent="0.25">
      <c r="B403" s="381" t="s">
        <v>843</v>
      </c>
      <c r="C403" s="378" t="s">
        <v>844</v>
      </c>
      <c r="D403" s="214">
        <v>2017</v>
      </c>
      <c r="E403" s="193"/>
      <c r="F403" s="193"/>
      <c r="G403" s="193" t="s">
        <v>17</v>
      </c>
      <c r="H403" s="193" t="s">
        <v>17</v>
      </c>
      <c r="I403" s="193"/>
      <c r="J403" s="193">
        <v>2</v>
      </c>
      <c r="K403" s="487">
        <f t="shared" si="5"/>
        <v>0.33333333333333337</v>
      </c>
      <c r="L403" s="489" t="s">
        <v>848</v>
      </c>
      <c r="M403" s="381" t="s">
        <v>849</v>
      </c>
    </row>
    <row r="404" spans="2:13" ht="15.75" customHeight="1" x14ac:dyDescent="0.25">
      <c r="B404" s="382"/>
      <c r="C404" s="379"/>
      <c r="D404" s="214">
        <v>2018</v>
      </c>
      <c r="E404" s="193"/>
      <c r="F404" s="193"/>
      <c r="G404" s="193" t="s">
        <v>17</v>
      </c>
      <c r="H404" s="193" t="s">
        <v>17</v>
      </c>
      <c r="I404" s="193"/>
      <c r="J404" s="193">
        <v>2</v>
      </c>
      <c r="K404" s="488"/>
      <c r="L404" s="490"/>
      <c r="M404" s="382"/>
    </row>
    <row r="405" spans="2:13" ht="15.75" customHeight="1" x14ac:dyDescent="0.25">
      <c r="B405" s="383"/>
      <c r="C405" s="380"/>
      <c r="D405" s="214">
        <v>2019</v>
      </c>
      <c r="E405" s="193"/>
      <c r="F405" s="193"/>
      <c r="G405" s="193" t="s">
        <v>17</v>
      </c>
      <c r="H405" s="193"/>
      <c r="I405" s="193"/>
      <c r="J405" s="193">
        <v>1</v>
      </c>
      <c r="K405" s="488"/>
      <c r="L405" s="491"/>
      <c r="M405" s="383"/>
    </row>
    <row r="406" spans="2:13" ht="15.75" customHeight="1" x14ac:dyDescent="0.25">
      <c r="B406" s="381" t="s">
        <v>845</v>
      </c>
      <c r="C406" s="378" t="s">
        <v>846</v>
      </c>
      <c r="D406" s="214">
        <v>2017</v>
      </c>
      <c r="E406" s="193" t="s">
        <v>17</v>
      </c>
      <c r="F406" s="193"/>
      <c r="G406" s="193"/>
      <c r="H406" s="193"/>
      <c r="I406" s="193"/>
      <c r="J406" s="214">
        <v>1</v>
      </c>
      <c r="K406" s="487">
        <f t="shared" ref="K406" si="6">(SUM(J406:J408)/3)/5</f>
        <v>0.2</v>
      </c>
      <c r="L406" s="378" t="s">
        <v>847</v>
      </c>
      <c r="M406" s="381" t="s">
        <v>371</v>
      </c>
    </row>
    <row r="407" spans="2:13" ht="15.75" customHeight="1" x14ac:dyDescent="0.25">
      <c r="B407" s="382"/>
      <c r="C407" s="379"/>
      <c r="D407" s="214">
        <v>2018</v>
      </c>
      <c r="E407" s="193" t="s">
        <v>17</v>
      </c>
      <c r="F407" s="193"/>
      <c r="G407" s="193"/>
      <c r="H407" s="193"/>
      <c r="I407" s="193"/>
      <c r="J407" s="214">
        <v>1</v>
      </c>
      <c r="K407" s="488"/>
      <c r="L407" s="379"/>
      <c r="M407" s="382"/>
    </row>
    <row r="408" spans="2:13" ht="15.75" customHeight="1" x14ac:dyDescent="0.25">
      <c r="B408" s="383"/>
      <c r="C408" s="380"/>
      <c r="D408" s="214">
        <v>2019</v>
      </c>
      <c r="E408" s="193" t="s">
        <v>17</v>
      </c>
      <c r="F408" s="193"/>
      <c r="G408" s="193"/>
      <c r="H408" s="193"/>
      <c r="I408" s="193"/>
      <c r="J408" s="214">
        <v>1</v>
      </c>
      <c r="K408" s="488"/>
      <c r="L408" s="380"/>
      <c r="M408" s="383"/>
    </row>
    <row r="409" spans="2:13" ht="15.75" customHeight="1" x14ac:dyDescent="0.25">
      <c r="B409" s="381" t="s">
        <v>850</v>
      </c>
      <c r="C409" s="378" t="s">
        <v>851</v>
      </c>
      <c r="D409" s="217">
        <v>2017</v>
      </c>
      <c r="E409" s="193" t="s">
        <v>17</v>
      </c>
      <c r="F409" s="193" t="s">
        <v>17</v>
      </c>
      <c r="G409" s="193"/>
      <c r="H409" s="193"/>
      <c r="I409" s="193"/>
      <c r="J409" s="193">
        <v>2</v>
      </c>
      <c r="K409" s="487">
        <f t="shared" ref="K409" si="7">(SUM(J409:J411)/3)/5</f>
        <v>0.4</v>
      </c>
      <c r="L409" s="381" t="s">
        <v>852</v>
      </c>
      <c r="M409" s="381" t="s">
        <v>371</v>
      </c>
    </row>
    <row r="410" spans="2:13" ht="15.75" customHeight="1" x14ac:dyDescent="0.25">
      <c r="B410" s="382"/>
      <c r="C410" s="379"/>
      <c r="D410" s="217">
        <v>2018</v>
      </c>
      <c r="E410" s="193" t="s">
        <v>17</v>
      </c>
      <c r="F410" s="193" t="s">
        <v>17</v>
      </c>
      <c r="G410" s="193"/>
      <c r="H410" s="193"/>
      <c r="I410" s="193"/>
      <c r="J410" s="193">
        <v>2</v>
      </c>
      <c r="K410" s="488"/>
      <c r="L410" s="382"/>
      <c r="M410" s="382"/>
    </row>
    <row r="411" spans="2:13" ht="15.75" customHeight="1" x14ac:dyDescent="0.25">
      <c r="B411" s="383"/>
      <c r="C411" s="380"/>
      <c r="D411" s="217">
        <v>2019</v>
      </c>
      <c r="E411" s="193" t="s">
        <v>17</v>
      </c>
      <c r="F411" s="193" t="s">
        <v>17</v>
      </c>
      <c r="G411" s="193"/>
      <c r="H411" s="193"/>
      <c r="I411" s="193"/>
      <c r="J411" s="193">
        <v>2</v>
      </c>
      <c r="K411" s="488"/>
      <c r="L411" s="383"/>
      <c r="M411" s="383"/>
    </row>
    <row r="412" spans="2:13" ht="15.75" customHeight="1" x14ac:dyDescent="0.25">
      <c r="B412" s="381" t="s">
        <v>857</v>
      </c>
      <c r="C412" s="378" t="s">
        <v>858</v>
      </c>
      <c r="D412" s="217">
        <v>2017</v>
      </c>
      <c r="E412" s="217" t="s">
        <v>17</v>
      </c>
      <c r="F412" s="217" t="s">
        <v>17</v>
      </c>
      <c r="G412" s="193"/>
      <c r="H412" s="193"/>
      <c r="I412" s="193"/>
      <c r="J412" s="217">
        <v>2</v>
      </c>
      <c r="K412" s="487">
        <f t="shared" ref="K412" si="8">(SUM(J412:J414)/3)/5</f>
        <v>0.4</v>
      </c>
      <c r="L412" s="378" t="s">
        <v>859</v>
      </c>
      <c r="M412" s="381" t="s">
        <v>371</v>
      </c>
    </row>
    <row r="413" spans="2:13" ht="15.75" customHeight="1" x14ac:dyDescent="0.25">
      <c r="B413" s="382"/>
      <c r="C413" s="379"/>
      <c r="D413" s="217">
        <v>2018</v>
      </c>
      <c r="E413" s="217" t="s">
        <v>17</v>
      </c>
      <c r="F413" s="217" t="s">
        <v>17</v>
      </c>
      <c r="G413" s="193"/>
      <c r="H413" s="193"/>
      <c r="I413" s="193"/>
      <c r="J413" s="217">
        <v>2</v>
      </c>
      <c r="K413" s="488"/>
      <c r="L413" s="379"/>
      <c r="M413" s="382"/>
    </row>
    <row r="414" spans="2:13" ht="15.75" customHeight="1" x14ac:dyDescent="0.25">
      <c r="B414" s="383"/>
      <c r="C414" s="380"/>
      <c r="D414" s="217">
        <v>2019</v>
      </c>
      <c r="E414" s="217" t="s">
        <v>17</v>
      </c>
      <c r="F414" s="217" t="s">
        <v>17</v>
      </c>
      <c r="G414" s="193"/>
      <c r="H414" s="193"/>
      <c r="I414" s="193"/>
      <c r="J414" s="217">
        <v>2</v>
      </c>
      <c r="K414" s="488"/>
      <c r="L414" s="380"/>
      <c r="M414" s="383"/>
    </row>
    <row r="415" spans="2:13" ht="15.75" customHeight="1" x14ac:dyDescent="0.25">
      <c r="B415" s="381" t="s">
        <v>860</v>
      </c>
      <c r="C415" s="378" t="s">
        <v>861</v>
      </c>
      <c r="D415" s="217">
        <v>2017</v>
      </c>
      <c r="E415" s="193" t="s">
        <v>17</v>
      </c>
      <c r="F415" s="193"/>
      <c r="G415" s="217" t="s">
        <v>17</v>
      </c>
      <c r="H415" s="193"/>
      <c r="I415" s="193"/>
      <c r="J415" s="250">
        <v>2</v>
      </c>
      <c r="K415" s="487">
        <f t="shared" ref="K415" si="9">(SUM(J415:J417)/3)/5</f>
        <v>0.4</v>
      </c>
      <c r="L415" s="378" t="s">
        <v>864</v>
      </c>
      <c r="M415" s="381" t="s">
        <v>426</v>
      </c>
    </row>
    <row r="416" spans="2:13" ht="15.75" customHeight="1" x14ac:dyDescent="0.25">
      <c r="B416" s="382"/>
      <c r="C416" s="379"/>
      <c r="D416" s="217">
        <v>2018</v>
      </c>
      <c r="E416" s="193" t="s">
        <v>17</v>
      </c>
      <c r="F416" s="193"/>
      <c r="G416" s="217" t="s">
        <v>17</v>
      </c>
      <c r="H416" s="193"/>
      <c r="I416" s="193"/>
      <c r="J416" s="250">
        <v>2</v>
      </c>
      <c r="K416" s="488"/>
      <c r="L416" s="379"/>
      <c r="M416" s="382"/>
    </row>
    <row r="417" spans="2:13" ht="15.75" customHeight="1" x14ac:dyDescent="0.25">
      <c r="B417" s="383"/>
      <c r="C417" s="380"/>
      <c r="D417" s="217">
        <v>2019</v>
      </c>
      <c r="E417" s="193" t="s">
        <v>17</v>
      </c>
      <c r="F417" s="193"/>
      <c r="G417" s="217" t="s">
        <v>17</v>
      </c>
      <c r="H417" s="193"/>
      <c r="I417" s="193"/>
      <c r="J417" s="250">
        <v>2</v>
      </c>
      <c r="K417" s="488"/>
      <c r="L417" s="380"/>
      <c r="M417" s="383"/>
    </row>
    <row r="418" spans="2:13" ht="15.75" customHeight="1" x14ac:dyDescent="0.25">
      <c r="B418" s="194"/>
      <c r="C418" s="194"/>
      <c r="D418" s="180"/>
      <c r="E418" s="193"/>
      <c r="F418" s="193"/>
      <c r="G418" s="193"/>
      <c r="H418" s="193"/>
      <c r="I418" s="193"/>
      <c r="J418" s="193"/>
      <c r="K418" s="179"/>
      <c r="L418" s="212"/>
      <c r="M418" s="209"/>
    </row>
    <row r="419" spans="2:13" ht="15.75" customHeight="1" x14ac:dyDescent="0.25">
      <c r="B419" s="194"/>
      <c r="C419" s="194"/>
      <c r="D419" s="180"/>
      <c r="E419" s="193"/>
      <c r="F419" s="193"/>
      <c r="G419" s="193"/>
      <c r="H419" s="193"/>
      <c r="I419" s="193"/>
      <c r="J419" s="193"/>
      <c r="K419" s="179"/>
      <c r="L419" s="212"/>
      <c r="M419" s="209"/>
    </row>
    <row r="420" spans="2:13" ht="15.75" customHeight="1" x14ac:dyDescent="0.25">
      <c r="B420" s="194"/>
      <c r="C420" s="194"/>
      <c r="D420" s="180"/>
      <c r="E420" s="193"/>
      <c r="F420" s="193"/>
      <c r="G420" s="193"/>
      <c r="H420" s="193"/>
      <c r="I420" s="193"/>
      <c r="J420" s="193"/>
      <c r="K420" s="179"/>
      <c r="L420" s="212"/>
      <c r="M420" s="209"/>
    </row>
    <row r="421" spans="2:13" ht="15.75" customHeight="1" x14ac:dyDescent="0.25">
      <c r="B421" s="194"/>
      <c r="C421" s="194"/>
      <c r="D421" s="180"/>
      <c r="E421" s="193"/>
      <c r="F421" s="193"/>
      <c r="G421" s="193"/>
      <c r="H421" s="193"/>
      <c r="I421" s="193"/>
      <c r="J421" s="193"/>
      <c r="K421" s="179"/>
      <c r="L421" s="212"/>
      <c r="M421" s="209"/>
    </row>
    <row r="422" spans="2:13" ht="15.75" customHeight="1" x14ac:dyDescent="0.25">
      <c r="B422" s="194"/>
      <c r="C422" s="194"/>
      <c r="D422" s="180"/>
      <c r="E422" s="193"/>
      <c r="F422" s="193"/>
      <c r="G422" s="193"/>
      <c r="H422" s="193"/>
      <c r="I422" s="193"/>
      <c r="J422" s="193"/>
      <c r="K422" s="179"/>
      <c r="L422" s="212"/>
      <c r="M422" s="209"/>
    </row>
    <row r="423" spans="2:13" ht="15.75" customHeight="1" x14ac:dyDescent="0.25">
      <c r="B423" s="194"/>
      <c r="C423" s="194"/>
      <c r="D423" s="180"/>
      <c r="E423" s="193"/>
      <c r="F423" s="193"/>
      <c r="G423" s="193"/>
      <c r="H423" s="193"/>
      <c r="I423" s="193"/>
      <c r="J423" s="193"/>
      <c r="K423" s="179"/>
      <c r="L423" s="212"/>
      <c r="M423" s="209"/>
    </row>
    <row r="424" spans="2:13" ht="15.75" customHeight="1" x14ac:dyDescent="0.25">
      <c r="B424" s="194"/>
      <c r="C424" s="194"/>
      <c r="D424" s="180"/>
      <c r="E424" s="193"/>
      <c r="F424" s="193"/>
      <c r="G424" s="193"/>
      <c r="H424" s="193"/>
      <c r="I424" s="193"/>
      <c r="J424" s="193"/>
      <c r="K424" s="179"/>
      <c r="L424" s="212"/>
      <c r="M424" s="209"/>
    </row>
    <row r="425" spans="2:13" ht="15.75" customHeight="1" x14ac:dyDescent="0.25">
      <c r="B425" s="194"/>
      <c r="C425" s="194"/>
      <c r="D425" s="180"/>
      <c r="E425" s="193"/>
      <c r="F425" s="193"/>
      <c r="G425" s="193"/>
      <c r="H425" s="193"/>
      <c r="I425" s="193"/>
      <c r="J425" s="193"/>
      <c r="K425" s="179"/>
      <c r="L425" s="212"/>
      <c r="M425" s="209"/>
    </row>
    <row r="426" spans="2:13" ht="15.75" customHeight="1" x14ac:dyDescent="0.25">
      <c r="B426" s="194"/>
      <c r="C426" s="194"/>
      <c r="D426" s="180"/>
      <c r="E426" s="193"/>
      <c r="F426" s="193"/>
      <c r="G426" s="193"/>
      <c r="H426" s="193"/>
      <c r="I426" s="193"/>
      <c r="J426" s="193"/>
      <c r="K426" s="179"/>
      <c r="L426" s="212"/>
      <c r="M426" s="209"/>
    </row>
    <row r="427" spans="2:13" ht="15.75" customHeight="1" x14ac:dyDescent="0.25">
      <c r="B427" s="194"/>
      <c r="C427" s="194"/>
      <c r="D427" s="180"/>
      <c r="E427" s="193"/>
      <c r="F427" s="193"/>
      <c r="G427" s="193"/>
      <c r="H427" s="193"/>
      <c r="I427" s="193"/>
      <c r="J427" s="193"/>
      <c r="K427" s="179"/>
      <c r="L427" s="212"/>
      <c r="M427" s="209"/>
    </row>
    <row r="428" spans="2:13" ht="15.75" customHeight="1" x14ac:dyDescent="0.25">
      <c r="B428" s="194"/>
      <c r="C428" s="194"/>
      <c r="D428" s="180"/>
      <c r="E428" s="193"/>
      <c r="F428" s="193"/>
      <c r="G428" s="193"/>
      <c r="H428" s="193"/>
      <c r="I428" s="193"/>
      <c r="J428" s="193"/>
      <c r="K428" s="179"/>
      <c r="L428" s="212"/>
      <c r="M428" s="209"/>
    </row>
    <row r="429" spans="2:13" ht="15.75" customHeight="1" x14ac:dyDescent="0.25">
      <c r="B429" s="194"/>
      <c r="C429" s="194"/>
      <c r="D429" s="180"/>
      <c r="E429" s="193"/>
      <c r="F429" s="193"/>
      <c r="G429" s="193"/>
      <c r="H429" s="193"/>
      <c r="I429" s="193"/>
      <c r="J429" s="193"/>
      <c r="K429" s="179"/>
      <c r="L429" s="212"/>
      <c r="M429" s="209"/>
    </row>
    <row r="430" spans="2:13" ht="15.75" customHeight="1" x14ac:dyDescent="0.25">
      <c r="B430" s="194"/>
      <c r="C430" s="194"/>
      <c r="D430" s="180"/>
      <c r="E430" s="193"/>
      <c r="F430" s="193"/>
      <c r="G430" s="193"/>
      <c r="H430" s="193"/>
      <c r="I430" s="193"/>
      <c r="J430" s="193"/>
      <c r="K430" s="179"/>
      <c r="L430" s="212"/>
      <c r="M430" s="209"/>
    </row>
    <row r="431" spans="2:13" ht="15.75" customHeight="1" x14ac:dyDescent="0.25">
      <c r="B431" s="194"/>
      <c r="C431" s="194"/>
      <c r="D431" s="180"/>
      <c r="E431" s="193"/>
      <c r="F431" s="193"/>
      <c r="G431" s="193"/>
      <c r="H431" s="193"/>
      <c r="I431" s="193"/>
      <c r="J431" s="193"/>
      <c r="K431" s="179"/>
      <c r="L431" s="212"/>
      <c r="M431" s="209"/>
    </row>
    <row r="432" spans="2:13" ht="15.75" customHeight="1" x14ac:dyDescent="0.25">
      <c r="B432" s="194"/>
      <c r="C432" s="194"/>
      <c r="D432" s="180"/>
      <c r="E432" s="193"/>
      <c r="F432" s="193"/>
      <c r="G432" s="193"/>
      <c r="H432" s="193"/>
      <c r="I432" s="193"/>
      <c r="J432" s="193"/>
      <c r="K432" s="179"/>
      <c r="L432" s="212"/>
      <c r="M432" s="209"/>
    </row>
    <row r="433" spans="2:13" ht="15.75" customHeight="1" x14ac:dyDescent="0.25">
      <c r="B433" s="194"/>
      <c r="C433" s="194"/>
      <c r="D433" s="180"/>
      <c r="M433" s="209"/>
    </row>
    <row r="434" spans="2:13" ht="15.75" customHeight="1" x14ac:dyDescent="0.25">
      <c r="B434" s="194"/>
      <c r="C434" s="194"/>
      <c r="D434" s="180"/>
      <c r="M434" s="209"/>
    </row>
    <row r="435" spans="2:13" ht="15.75" customHeight="1" x14ac:dyDescent="0.25">
      <c r="B435" s="194"/>
      <c r="C435" s="194"/>
      <c r="D435" s="180"/>
      <c r="M435" s="209"/>
    </row>
    <row r="436" spans="2:13" ht="15.75" customHeight="1" x14ac:dyDescent="0.25">
      <c r="M436" s="209"/>
    </row>
    <row r="437" spans="2:13" ht="15.75" customHeight="1" x14ac:dyDescent="0.25">
      <c r="M437" s="209"/>
    </row>
    <row r="438" spans="2:13" ht="15.75" customHeight="1" x14ac:dyDescent="0.25">
      <c r="M438" s="209"/>
    </row>
    <row r="439" spans="2:13" ht="15.75" customHeight="1" x14ac:dyDescent="0.25">
      <c r="M439" s="209"/>
    </row>
    <row r="440" spans="2:13" ht="15.75" customHeight="1" x14ac:dyDescent="0.25">
      <c r="M440" s="209"/>
    </row>
    <row r="441" spans="2:13" ht="15.75" customHeight="1" x14ac:dyDescent="0.25">
      <c r="M441" s="209"/>
    </row>
    <row r="442" spans="2:13" ht="15.75" customHeight="1" x14ac:dyDescent="0.25">
      <c r="M442" s="209"/>
    </row>
    <row r="443" spans="2:13" ht="15.75" customHeight="1" x14ac:dyDescent="0.25">
      <c r="M443" s="209"/>
    </row>
    <row r="444" spans="2:13" ht="15.75" customHeight="1" x14ac:dyDescent="0.25">
      <c r="M444" s="209"/>
    </row>
    <row r="445" spans="2:13" ht="15.75" customHeight="1" x14ac:dyDescent="0.25">
      <c r="M445" s="209"/>
    </row>
    <row r="446" spans="2:13" ht="15.75" customHeight="1" x14ac:dyDescent="0.25"/>
    <row r="447" spans="2:13" ht="15.75" customHeight="1" x14ac:dyDescent="0.25"/>
    <row r="448" spans="2:13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mergeCells count="683">
    <mergeCell ref="B412:B414"/>
    <mergeCell ref="C412:C414"/>
    <mergeCell ref="L412:L414"/>
    <mergeCell ref="M412:M414"/>
    <mergeCell ref="K412:K414"/>
    <mergeCell ref="B415:B417"/>
    <mergeCell ref="C415:C417"/>
    <mergeCell ref="L415:L417"/>
    <mergeCell ref="M415:M417"/>
    <mergeCell ref="K415:K417"/>
    <mergeCell ref="B397:B399"/>
    <mergeCell ref="C397:C399"/>
    <mergeCell ref="M397:M399"/>
    <mergeCell ref="L397:L399"/>
    <mergeCell ref="K397:K399"/>
    <mergeCell ref="B409:B411"/>
    <mergeCell ref="C409:C411"/>
    <mergeCell ref="L409:L411"/>
    <mergeCell ref="M409:M411"/>
    <mergeCell ref="K409:K411"/>
    <mergeCell ref="K403:K405"/>
    <mergeCell ref="L400:L402"/>
    <mergeCell ref="M400:M402"/>
    <mergeCell ref="B403:B405"/>
    <mergeCell ref="C403:C405"/>
    <mergeCell ref="B406:B408"/>
    <mergeCell ref="C406:C408"/>
    <mergeCell ref="M406:M408"/>
    <mergeCell ref="L406:L408"/>
    <mergeCell ref="L403:L405"/>
    <mergeCell ref="M403:M405"/>
    <mergeCell ref="K406:K408"/>
    <mergeCell ref="C391:C393"/>
    <mergeCell ref="L391:L393"/>
    <mergeCell ref="M391:M393"/>
    <mergeCell ref="K388:K390"/>
    <mergeCell ref="K391:K393"/>
    <mergeCell ref="B394:B396"/>
    <mergeCell ref="C394:C396"/>
    <mergeCell ref="L394:L396"/>
    <mergeCell ref="M394:M396"/>
    <mergeCell ref="K394:K396"/>
    <mergeCell ref="M340:M342"/>
    <mergeCell ref="B310:B312"/>
    <mergeCell ref="C310:C312"/>
    <mergeCell ref="L310:L312"/>
    <mergeCell ref="M310:M312"/>
    <mergeCell ref="K310:K312"/>
    <mergeCell ref="B313:B315"/>
    <mergeCell ref="C313:C315"/>
    <mergeCell ref="L313:L315"/>
    <mergeCell ref="M313:M315"/>
    <mergeCell ref="B316:B318"/>
    <mergeCell ref="C316:C318"/>
    <mergeCell ref="L316:L318"/>
    <mergeCell ref="M316:M318"/>
    <mergeCell ref="K313:K315"/>
    <mergeCell ref="K316:K318"/>
    <mergeCell ref="K319:K321"/>
    <mergeCell ref="B319:B321"/>
    <mergeCell ref="C319:C321"/>
    <mergeCell ref="L319:L321"/>
    <mergeCell ref="M319:M321"/>
    <mergeCell ref="B322:B324"/>
    <mergeCell ref="C322:C324"/>
    <mergeCell ref="K322:K324"/>
    <mergeCell ref="B283:B285"/>
    <mergeCell ref="C283:C285"/>
    <mergeCell ref="L283:L285"/>
    <mergeCell ref="M283:M285"/>
    <mergeCell ref="K280:K282"/>
    <mergeCell ref="K283:K285"/>
    <mergeCell ref="B277:B279"/>
    <mergeCell ref="C277:C279"/>
    <mergeCell ref="K274:K276"/>
    <mergeCell ref="K277:K279"/>
    <mergeCell ref="L277:L279"/>
    <mergeCell ref="M277:M279"/>
    <mergeCell ref="B280:B282"/>
    <mergeCell ref="C280:C282"/>
    <mergeCell ref="L280:L282"/>
    <mergeCell ref="M280:M282"/>
    <mergeCell ref="K268:K270"/>
    <mergeCell ref="L268:L270"/>
    <mergeCell ref="M268:M270"/>
    <mergeCell ref="B271:B273"/>
    <mergeCell ref="C271:C273"/>
    <mergeCell ref="K271:K273"/>
    <mergeCell ref="L271:L273"/>
    <mergeCell ref="M271:M273"/>
    <mergeCell ref="B274:B276"/>
    <mergeCell ref="C274:C276"/>
    <mergeCell ref="L274:L276"/>
    <mergeCell ref="M274:M276"/>
    <mergeCell ref="B268:B270"/>
    <mergeCell ref="C268:C270"/>
    <mergeCell ref="B262:B264"/>
    <mergeCell ref="C262:C264"/>
    <mergeCell ref="L262:L264"/>
    <mergeCell ref="M262:M264"/>
    <mergeCell ref="K262:K264"/>
    <mergeCell ref="B256:B258"/>
    <mergeCell ref="C256:C258"/>
    <mergeCell ref="K256:K258"/>
    <mergeCell ref="L256:L258"/>
    <mergeCell ref="M256:M258"/>
    <mergeCell ref="B259:B261"/>
    <mergeCell ref="C259:C261"/>
    <mergeCell ref="M259:M261"/>
    <mergeCell ref="L259:L261"/>
    <mergeCell ref="K259:K261"/>
    <mergeCell ref="K250:K252"/>
    <mergeCell ref="L250:L252"/>
    <mergeCell ref="M250:M252"/>
    <mergeCell ref="B253:B255"/>
    <mergeCell ref="C253:C255"/>
    <mergeCell ref="K253:K255"/>
    <mergeCell ref="L253:L255"/>
    <mergeCell ref="M253:M255"/>
    <mergeCell ref="B244:B246"/>
    <mergeCell ref="C244:C246"/>
    <mergeCell ref="L244:L246"/>
    <mergeCell ref="M244:M246"/>
    <mergeCell ref="B247:B249"/>
    <mergeCell ref="C247:C249"/>
    <mergeCell ref="L247:L249"/>
    <mergeCell ref="M247:M249"/>
    <mergeCell ref="B223:B225"/>
    <mergeCell ref="C223:C225"/>
    <mergeCell ref="K223:K225"/>
    <mergeCell ref="M223:M225"/>
    <mergeCell ref="L223:L225"/>
    <mergeCell ref="B226:B228"/>
    <mergeCell ref="C226:C228"/>
    <mergeCell ref="L226:L228"/>
    <mergeCell ref="M226:M228"/>
    <mergeCell ref="K226:K228"/>
    <mergeCell ref="B217:B219"/>
    <mergeCell ref="C217:C219"/>
    <mergeCell ref="K217:K219"/>
    <mergeCell ref="L217:L219"/>
    <mergeCell ref="M217:M219"/>
    <mergeCell ref="B220:B222"/>
    <mergeCell ref="C220:C222"/>
    <mergeCell ref="M220:M222"/>
    <mergeCell ref="L220:L222"/>
    <mergeCell ref="K220:K222"/>
    <mergeCell ref="B211:B213"/>
    <mergeCell ref="C211:C213"/>
    <mergeCell ref="K208:K210"/>
    <mergeCell ref="K211:K213"/>
    <mergeCell ref="L211:L213"/>
    <mergeCell ref="M211:M213"/>
    <mergeCell ref="B214:B216"/>
    <mergeCell ref="C214:C216"/>
    <mergeCell ref="K214:K216"/>
    <mergeCell ref="L214:L216"/>
    <mergeCell ref="M214:M216"/>
    <mergeCell ref="B205:B207"/>
    <mergeCell ref="C205:C207"/>
    <mergeCell ref="B202:B204"/>
    <mergeCell ref="C202:C204"/>
    <mergeCell ref="K202:K204"/>
    <mergeCell ref="L202:L204"/>
    <mergeCell ref="M202:M204"/>
    <mergeCell ref="K181:K183"/>
    <mergeCell ref="K184:K186"/>
    <mergeCell ref="K187:K189"/>
    <mergeCell ref="K190:K192"/>
    <mergeCell ref="K193:K195"/>
    <mergeCell ref="K196:K198"/>
    <mergeCell ref="K199:K201"/>
    <mergeCell ref="B193:B195"/>
    <mergeCell ref="C193:C195"/>
    <mergeCell ref="L193:L195"/>
    <mergeCell ref="M193:M195"/>
    <mergeCell ref="B196:B198"/>
    <mergeCell ref="C196:C198"/>
    <mergeCell ref="L196:L198"/>
    <mergeCell ref="M196:M198"/>
    <mergeCell ref="B199:B201"/>
    <mergeCell ref="C199:C201"/>
    <mergeCell ref="K130:K132"/>
    <mergeCell ref="K133:K135"/>
    <mergeCell ref="K136:K138"/>
    <mergeCell ref="K139:K141"/>
    <mergeCell ref="K142:K144"/>
    <mergeCell ref="K145:K147"/>
    <mergeCell ref="K148:K150"/>
    <mergeCell ref="K151:K153"/>
    <mergeCell ref="M199:M201"/>
    <mergeCell ref="L199:L201"/>
    <mergeCell ref="K154:K156"/>
    <mergeCell ref="K157:K159"/>
    <mergeCell ref="K160:K162"/>
    <mergeCell ref="K163:K165"/>
    <mergeCell ref="K166:K168"/>
    <mergeCell ref="K169:K171"/>
    <mergeCell ref="K172:K174"/>
    <mergeCell ref="K175:K177"/>
    <mergeCell ref="K178:K180"/>
    <mergeCell ref="K76:K78"/>
    <mergeCell ref="K79:K81"/>
    <mergeCell ref="K82:K84"/>
    <mergeCell ref="K97:K99"/>
    <mergeCell ref="K100:K102"/>
    <mergeCell ref="K103:K105"/>
    <mergeCell ref="K106:K108"/>
    <mergeCell ref="K109:K111"/>
    <mergeCell ref="K127:K129"/>
    <mergeCell ref="B175:B177"/>
    <mergeCell ref="C175:C177"/>
    <mergeCell ref="L175:L177"/>
    <mergeCell ref="M175:M177"/>
    <mergeCell ref="B187:B189"/>
    <mergeCell ref="C187:C189"/>
    <mergeCell ref="L187:L189"/>
    <mergeCell ref="M187:M189"/>
    <mergeCell ref="B190:B192"/>
    <mergeCell ref="C190:C192"/>
    <mergeCell ref="L190:L192"/>
    <mergeCell ref="M190:M192"/>
    <mergeCell ref="B178:B180"/>
    <mergeCell ref="C178:C180"/>
    <mergeCell ref="L178:L180"/>
    <mergeCell ref="M178:M180"/>
    <mergeCell ref="B181:B183"/>
    <mergeCell ref="C181:C183"/>
    <mergeCell ref="L181:L183"/>
    <mergeCell ref="M181:M183"/>
    <mergeCell ref="B184:B186"/>
    <mergeCell ref="C184:C186"/>
    <mergeCell ref="M184:M186"/>
    <mergeCell ref="L184:L186"/>
    <mergeCell ref="B169:B171"/>
    <mergeCell ref="C169:C171"/>
    <mergeCell ref="B172:B174"/>
    <mergeCell ref="C172:C174"/>
    <mergeCell ref="L172:L174"/>
    <mergeCell ref="M172:M174"/>
    <mergeCell ref="L169:L171"/>
    <mergeCell ref="M169:M171"/>
    <mergeCell ref="B166:B168"/>
    <mergeCell ref="C166:C168"/>
    <mergeCell ref="L166:L168"/>
    <mergeCell ref="M166:M168"/>
    <mergeCell ref="B163:B165"/>
    <mergeCell ref="C163:C165"/>
    <mergeCell ref="L163:L165"/>
    <mergeCell ref="M163:M165"/>
    <mergeCell ref="B160:B162"/>
    <mergeCell ref="C160:C162"/>
    <mergeCell ref="L160:L162"/>
    <mergeCell ref="M160:M162"/>
    <mergeCell ref="B145:B147"/>
    <mergeCell ref="C145:C147"/>
    <mergeCell ref="M145:M147"/>
    <mergeCell ref="L145:L147"/>
    <mergeCell ref="B148:B150"/>
    <mergeCell ref="C148:C150"/>
    <mergeCell ref="L148:L150"/>
    <mergeCell ref="M148:M150"/>
    <mergeCell ref="B151:B153"/>
    <mergeCell ref="C151:C153"/>
    <mergeCell ref="M151:M153"/>
    <mergeCell ref="L151:L153"/>
    <mergeCell ref="B157:B159"/>
    <mergeCell ref="C157:C159"/>
    <mergeCell ref="L157:L159"/>
    <mergeCell ref="M157:M159"/>
    <mergeCell ref="B103:B105"/>
    <mergeCell ref="C103:C105"/>
    <mergeCell ref="L103:L105"/>
    <mergeCell ref="M103:M105"/>
    <mergeCell ref="B112:B114"/>
    <mergeCell ref="C112:C114"/>
    <mergeCell ref="B106:B108"/>
    <mergeCell ref="C106:C108"/>
    <mergeCell ref="L106:L108"/>
    <mergeCell ref="M106:M108"/>
    <mergeCell ref="K112:K114"/>
    <mergeCell ref="B121:B123"/>
    <mergeCell ref="C121:C123"/>
    <mergeCell ref="L115:L117"/>
    <mergeCell ref="M115:M117"/>
    <mergeCell ref="B124:B126"/>
    <mergeCell ref="C124:C126"/>
    <mergeCell ref="L124:L126"/>
    <mergeCell ref="M124:M126"/>
    <mergeCell ref="B118:B120"/>
    <mergeCell ref="C118:C120"/>
    <mergeCell ref="L118:L120"/>
    <mergeCell ref="M118:M120"/>
    <mergeCell ref="K115:K117"/>
    <mergeCell ref="K118:K120"/>
    <mergeCell ref="K121:K123"/>
    <mergeCell ref="K124:K126"/>
    <mergeCell ref="B94:B96"/>
    <mergeCell ref="C94:C96"/>
    <mergeCell ref="L94:L96"/>
    <mergeCell ref="M94:M96"/>
    <mergeCell ref="B85:B87"/>
    <mergeCell ref="C85:C87"/>
    <mergeCell ref="L85:L87"/>
    <mergeCell ref="M85:M87"/>
    <mergeCell ref="K85:K87"/>
    <mergeCell ref="K88:K90"/>
    <mergeCell ref="K91:K93"/>
    <mergeCell ref="K94:K96"/>
    <mergeCell ref="B64:B66"/>
    <mergeCell ref="C64:C66"/>
    <mergeCell ref="M64:M66"/>
    <mergeCell ref="L64:L66"/>
    <mergeCell ref="L67:L69"/>
    <mergeCell ref="M67:M69"/>
    <mergeCell ref="B91:B93"/>
    <mergeCell ref="C91:C93"/>
    <mergeCell ref="L91:L93"/>
    <mergeCell ref="M91:M93"/>
    <mergeCell ref="B79:B81"/>
    <mergeCell ref="C79:C81"/>
    <mergeCell ref="L79:L81"/>
    <mergeCell ref="M79:M81"/>
    <mergeCell ref="B82:B84"/>
    <mergeCell ref="C82:C84"/>
    <mergeCell ref="L82:L84"/>
    <mergeCell ref="M82:M84"/>
    <mergeCell ref="B76:B78"/>
    <mergeCell ref="C76:C78"/>
    <mergeCell ref="K64:K66"/>
    <mergeCell ref="K67:K69"/>
    <mergeCell ref="K70:K72"/>
    <mergeCell ref="K73:K75"/>
    <mergeCell ref="B73:B75"/>
    <mergeCell ref="C73:C75"/>
    <mergeCell ref="L73:L75"/>
    <mergeCell ref="M73:M75"/>
    <mergeCell ref="M70:M72"/>
    <mergeCell ref="B67:B69"/>
    <mergeCell ref="C67:C69"/>
    <mergeCell ref="B70:B72"/>
    <mergeCell ref="C70:C72"/>
    <mergeCell ref="L70:L72"/>
    <mergeCell ref="B61:B63"/>
    <mergeCell ref="C61:C63"/>
    <mergeCell ref="L61:L63"/>
    <mergeCell ref="M61:M63"/>
    <mergeCell ref="K58:K60"/>
    <mergeCell ref="K61:K63"/>
    <mergeCell ref="B46:B48"/>
    <mergeCell ref="C46:C48"/>
    <mergeCell ref="L46:L48"/>
    <mergeCell ref="K46:K48"/>
    <mergeCell ref="K28:K30"/>
    <mergeCell ref="K31:K33"/>
    <mergeCell ref="K34:K36"/>
    <mergeCell ref="K37:K39"/>
    <mergeCell ref="K40:K42"/>
    <mergeCell ref="M40:M42"/>
    <mergeCell ref="B37:B39"/>
    <mergeCell ref="B58:B60"/>
    <mergeCell ref="C58:C60"/>
    <mergeCell ref="L58:L60"/>
    <mergeCell ref="M58:M60"/>
    <mergeCell ref="B28:B30"/>
    <mergeCell ref="C28:C30"/>
    <mergeCell ref="B5:L5"/>
    <mergeCell ref="B6:L6"/>
    <mergeCell ref="B7:L7"/>
    <mergeCell ref="B8:L8"/>
    <mergeCell ref="B9:L9"/>
    <mergeCell ref="B11:B12"/>
    <mergeCell ref="C11:C12"/>
    <mergeCell ref="B13:B15"/>
    <mergeCell ref="C13:C15"/>
    <mergeCell ref="D11:D12"/>
    <mergeCell ref="E11:I11"/>
    <mergeCell ref="K11:K12"/>
    <mergeCell ref="L11:L12"/>
    <mergeCell ref="J11:J12"/>
    <mergeCell ref="K13:K15"/>
    <mergeCell ref="M11:M12"/>
    <mergeCell ref="L16:L18"/>
    <mergeCell ref="L13:L15"/>
    <mergeCell ref="B16:B18"/>
    <mergeCell ref="M13:M15"/>
    <mergeCell ref="M19:M21"/>
    <mergeCell ref="B19:B21"/>
    <mergeCell ref="C19:C21"/>
    <mergeCell ref="M25:M27"/>
    <mergeCell ref="L25:L27"/>
    <mergeCell ref="L19:L21"/>
    <mergeCell ref="B25:B27"/>
    <mergeCell ref="B22:B24"/>
    <mergeCell ref="C22:C24"/>
    <mergeCell ref="K16:K18"/>
    <mergeCell ref="K19:K21"/>
    <mergeCell ref="K22:K24"/>
    <mergeCell ref="K25:K27"/>
    <mergeCell ref="C97:C99"/>
    <mergeCell ref="L97:L99"/>
    <mergeCell ref="M97:M99"/>
    <mergeCell ref="K43:K45"/>
    <mergeCell ref="M28:M30"/>
    <mergeCell ref="M16:M18"/>
    <mergeCell ref="C49:C51"/>
    <mergeCell ref="L50:L51"/>
    <mergeCell ref="M49:M51"/>
    <mergeCell ref="C55:C57"/>
    <mergeCell ref="C52:C54"/>
    <mergeCell ref="M53:M54"/>
    <mergeCell ref="L53:L54"/>
    <mergeCell ref="K49:K51"/>
    <mergeCell ref="K52:K54"/>
    <mergeCell ref="K55:K57"/>
    <mergeCell ref="L76:L78"/>
    <mergeCell ref="C25:C27"/>
    <mergeCell ref="C16:C18"/>
    <mergeCell ref="M76:M78"/>
    <mergeCell ref="L22:L24"/>
    <mergeCell ref="M22:M24"/>
    <mergeCell ref="C37:C39"/>
    <mergeCell ref="M46:M48"/>
    <mergeCell ref="B100:B102"/>
    <mergeCell ref="C100:C102"/>
    <mergeCell ref="L101:L102"/>
    <mergeCell ref="M101:M102"/>
    <mergeCell ref="C31:C33"/>
    <mergeCell ref="B31:B33"/>
    <mergeCell ref="M31:M33"/>
    <mergeCell ref="L31:L33"/>
    <mergeCell ref="B34:B36"/>
    <mergeCell ref="C34:C36"/>
    <mergeCell ref="M34:M36"/>
    <mergeCell ref="L34:L36"/>
    <mergeCell ref="M37:M39"/>
    <mergeCell ref="L37:L38"/>
    <mergeCell ref="B43:B45"/>
    <mergeCell ref="C43:C45"/>
    <mergeCell ref="M43:M45"/>
    <mergeCell ref="L43:L45"/>
    <mergeCell ref="B40:B42"/>
    <mergeCell ref="C40:C42"/>
    <mergeCell ref="L40:L42"/>
    <mergeCell ref="B49:B51"/>
    <mergeCell ref="B55:B57"/>
    <mergeCell ref="B52:B54"/>
    <mergeCell ref="C139:C141"/>
    <mergeCell ref="L139:L141"/>
    <mergeCell ref="M139:M141"/>
    <mergeCell ref="B142:B144"/>
    <mergeCell ref="C142:C144"/>
    <mergeCell ref="M142:M144"/>
    <mergeCell ref="L142:L144"/>
    <mergeCell ref="B88:B90"/>
    <mergeCell ref="C88:C90"/>
    <mergeCell ref="L88:L90"/>
    <mergeCell ref="M88:M90"/>
    <mergeCell ref="B109:B111"/>
    <mergeCell ref="C109:C111"/>
    <mergeCell ref="M109:M111"/>
    <mergeCell ref="L109:L111"/>
    <mergeCell ref="B127:B129"/>
    <mergeCell ref="C127:C129"/>
    <mergeCell ref="M127:M129"/>
    <mergeCell ref="L127:L129"/>
    <mergeCell ref="L112:L114"/>
    <mergeCell ref="M112:M114"/>
    <mergeCell ref="B115:B117"/>
    <mergeCell ref="C115:C117"/>
    <mergeCell ref="B97:B99"/>
    <mergeCell ref="K205:K207"/>
    <mergeCell ref="L205:L207"/>
    <mergeCell ref="M205:M207"/>
    <mergeCell ref="B208:B210"/>
    <mergeCell ref="C208:C210"/>
    <mergeCell ref="L208:L210"/>
    <mergeCell ref="M208:M210"/>
    <mergeCell ref="B130:B132"/>
    <mergeCell ref="C130:C132"/>
    <mergeCell ref="L130:L132"/>
    <mergeCell ref="M130:M132"/>
    <mergeCell ref="B133:B135"/>
    <mergeCell ref="C133:C135"/>
    <mergeCell ref="M133:M135"/>
    <mergeCell ref="L133:L135"/>
    <mergeCell ref="B154:B156"/>
    <mergeCell ref="C154:C156"/>
    <mergeCell ref="L154:L156"/>
    <mergeCell ref="M154:M156"/>
    <mergeCell ref="B136:B138"/>
    <mergeCell ref="C136:C138"/>
    <mergeCell ref="L136:L138"/>
    <mergeCell ref="M136:M138"/>
    <mergeCell ref="B139:B141"/>
    <mergeCell ref="B229:B231"/>
    <mergeCell ref="C229:C231"/>
    <mergeCell ref="L229:L231"/>
    <mergeCell ref="M229:M231"/>
    <mergeCell ref="B232:B234"/>
    <mergeCell ref="C232:C234"/>
    <mergeCell ref="K229:K231"/>
    <mergeCell ref="L232:L234"/>
    <mergeCell ref="M232:M234"/>
    <mergeCell ref="K232:K234"/>
    <mergeCell ref="B241:B243"/>
    <mergeCell ref="C241:C243"/>
    <mergeCell ref="K241:K243"/>
    <mergeCell ref="L241:L243"/>
    <mergeCell ref="M241:M243"/>
    <mergeCell ref="B235:B237"/>
    <mergeCell ref="B265:B267"/>
    <mergeCell ref="C265:C267"/>
    <mergeCell ref="K265:K267"/>
    <mergeCell ref="L265:L267"/>
    <mergeCell ref="M265:M267"/>
    <mergeCell ref="C235:C237"/>
    <mergeCell ref="L235:L237"/>
    <mergeCell ref="M235:M237"/>
    <mergeCell ref="K235:K237"/>
    <mergeCell ref="B238:B240"/>
    <mergeCell ref="C238:C240"/>
    <mergeCell ref="K238:K240"/>
    <mergeCell ref="L238:L240"/>
    <mergeCell ref="M238:M240"/>
    <mergeCell ref="B250:B252"/>
    <mergeCell ref="C250:C252"/>
    <mergeCell ref="K244:K246"/>
    <mergeCell ref="K247:K249"/>
    <mergeCell ref="B286:B288"/>
    <mergeCell ref="C286:C288"/>
    <mergeCell ref="L286:L288"/>
    <mergeCell ref="M286:M288"/>
    <mergeCell ref="K286:K288"/>
    <mergeCell ref="B289:B291"/>
    <mergeCell ref="C289:C291"/>
    <mergeCell ref="K289:K291"/>
    <mergeCell ref="L289:L291"/>
    <mergeCell ref="M289:M291"/>
    <mergeCell ref="C292:C294"/>
    <mergeCell ref="B292:B294"/>
    <mergeCell ref="K292:K294"/>
    <mergeCell ref="L292:L294"/>
    <mergeCell ref="M292:M294"/>
    <mergeCell ref="B295:B297"/>
    <mergeCell ref="C295:C297"/>
    <mergeCell ref="L295:L297"/>
    <mergeCell ref="M295:M297"/>
    <mergeCell ref="L331:L333"/>
    <mergeCell ref="M331:M333"/>
    <mergeCell ref="K331:K333"/>
    <mergeCell ref="B298:B300"/>
    <mergeCell ref="C298:C300"/>
    <mergeCell ref="K295:K297"/>
    <mergeCell ref="K298:K300"/>
    <mergeCell ref="L298:L300"/>
    <mergeCell ref="M298:M300"/>
    <mergeCell ref="B301:B303"/>
    <mergeCell ref="C301:C303"/>
    <mergeCell ref="K301:K303"/>
    <mergeCell ref="L301:L303"/>
    <mergeCell ref="M301:M303"/>
    <mergeCell ref="B304:B306"/>
    <mergeCell ref="C304:C306"/>
    <mergeCell ref="K304:K306"/>
    <mergeCell ref="L304:L306"/>
    <mergeCell ref="M304:M306"/>
    <mergeCell ref="B307:B309"/>
    <mergeCell ref="C307:C309"/>
    <mergeCell ref="L307:L309"/>
    <mergeCell ref="M307:M309"/>
    <mergeCell ref="K307:K309"/>
    <mergeCell ref="L346:L348"/>
    <mergeCell ref="M346:M348"/>
    <mergeCell ref="K346:K348"/>
    <mergeCell ref="B340:B342"/>
    <mergeCell ref="C340:C342"/>
    <mergeCell ref="L322:L324"/>
    <mergeCell ref="M322:M324"/>
    <mergeCell ref="K334:K336"/>
    <mergeCell ref="B325:B327"/>
    <mergeCell ref="C325:C327"/>
    <mergeCell ref="L325:L327"/>
    <mergeCell ref="M325:M327"/>
    <mergeCell ref="K325:K327"/>
    <mergeCell ref="B328:B330"/>
    <mergeCell ref="C328:C330"/>
    <mergeCell ref="L328:L330"/>
    <mergeCell ref="M328:M330"/>
    <mergeCell ref="K328:K330"/>
    <mergeCell ref="B334:B336"/>
    <mergeCell ref="C334:C336"/>
    <mergeCell ref="L334:L336"/>
    <mergeCell ref="M334:M336"/>
    <mergeCell ref="B331:B333"/>
    <mergeCell ref="C331:C333"/>
    <mergeCell ref="L337:L339"/>
    <mergeCell ref="M337:M339"/>
    <mergeCell ref="K337:K339"/>
    <mergeCell ref="B337:B339"/>
    <mergeCell ref="C337:C339"/>
    <mergeCell ref="L340:L342"/>
    <mergeCell ref="B352:B354"/>
    <mergeCell ref="C352:C354"/>
    <mergeCell ref="L352:L354"/>
    <mergeCell ref="M352:M354"/>
    <mergeCell ref="K349:K351"/>
    <mergeCell ref="K352:K354"/>
    <mergeCell ref="B349:B351"/>
    <mergeCell ref="C349:C351"/>
    <mergeCell ref="L349:L351"/>
    <mergeCell ref="M349:M351"/>
    <mergeCell ref="B343:B345"/>
    <mergeCell ref="C343:C345"/>
    <mergeCell ref="K340:K342"/>
    <mergeCell ref="K343:K345"/>
    <mergeCell ref="L343:L345"/>
    <mergeCell ref="M343:M345"/>
    <mergeCell ref="B346:B348"/>
    <mergeCell ref="C346:C348"/>
    <mergeCell ref="B355:B357"/>
    <mergeCell ref="C355:C357"/>
    <mergeCell ref="L355:L357"/>
    <mergeCell ref="M355:M357"/>
    <mergeCell ref="K355:K357"/>
    <mergeCell ref="B358:B360"/>
    <mergeCell ref="C358:C360"/>
    <mergeCell ref="L358:L360"/>
    <mergeCell ref="M358:M360"/>
    <mergeCell ref="K358:K360"/>
    <mergeCell ref="B361:B363"/>
    <mergeCell ref="C361:C363"/>
    <mergeCell ref="L361:L363"/>
    <mergeCell ref="M361:M363"/>
    <mergeCell ref="K361:K363"/>
    <mergeCell ref="B370:B372"/>
    <mergeCell ref="C370:C372"/>
    <mergeCell ref="K370:K372"/>
    <mergeCell ref="L370:L372"/>
    <mergeCell ref="M370:M372"/>
    <mergeCell ref="B364:B366"/>
    <mergeCell ref="C364:C366"/>
    <mergeCell ref="M364:M366"/>
    <mergeCell ref="L364:L366"/>
    <mergeCell ref="B367:B369"/>
    <mergeCell ref="C367:C369"/>
    <mergeCell ref="L367:L369"/>
    <mergeCell ref="M367:M369"/>
    <mergeCell ref="K364:K366"/>
    <mergeCell ref="K367:K369"/>
    <mergeCell ref="B373:B375"/>
    <mergeCell ref="C373:C375"/>
    <mergeCell ref="L373:L375"/>
    <mergeCell ref="M373:M375"/>
    <mergeCell ref="K373:K375"/>
    <mergeCell ref="B376:B378"/>
    <mergeCell ref="C376:C378"/>
    <mergeCell ref="L376:L378"/>
    <mergeCell ref="M376:M378"/>
    <mergeCell ref="B379:B381"/>
    <mergeCell ref="C379:C381"/>
    <mergeCell ref="L379:L381"/>
    <mergeCell ref="M379:M381"/>
    <mergeCell ref="K376:K378"/>
    <mergeCell ref="K379:K381"/>
    <mergeCell ref="B400:B402"/>
    <mergeCell ref="C400:C402"/>
    <mergeCell ref="K400:K402"/>
    <mergeCell ref="B382:B384"/>
    <mergeCell ref="C382:C384"/>
    <mergeCell ref="L382:L384"/>
    <mergeCell ref="M382:M384"/>
    <mergeCell ref="K382:K384"/>
    <mergeCell ref="B385:B387"/>
    <mergeCell ref="C385:C387"/>
    <mergeCell ref="L385:L387"/>
    <mergeCell ref="M385:M387"/>
    <mergeCell ref="K385:K387"/>
    <mergeCell ref="B388:B390"/>
    <mergeCell ref="C388:C390"/>
    <mergeCell ref="L388:L390"/>
    <mergeCell ref="M388:M390"/>
    <mergeCell ref="B391:B393"/>
  </mergeCells>
  <conditionalFormatting sqref="M121:M122">
    <cfRule type="duplicateValues" dxfId="0" priority="1"/>
  </conditionalFormatting>
  <pageMargins left="0.7" right="0.7" top="0.75" bottom="0.75" header="0" footer="0"/>
  <pageSetup orientation="landscape" r:id="rId1"/>
  <ignoredErrors>
    <ignoredError sqref="K13:K201 K226 K202:K225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357"/>
  <sheetViews>
    <sheetView topLeftCell="B59" zoomScaleNormal="100" workbookViewId="0">
      <pane xSplit="2" topLeftCell="E1" activePane="topRight" state="frozen"/>
      <selection activeCell="B7" sqref="B7"/>
      <selection pane="topRight" activeCell="E61" sqref="E61"/>
    </sheetView>
  </sheetViews>
  <sheetFormatPr defaultColWidth="12.625" defaultRowHeight="15.95" customHeight="1" x14ac:dyDescent="0.2"/>
  <cols>
    <col min="1" max="1" width="9.25" style="45" bestFit="1" customWidth="1"/>
    <col min="2" max="2" width="8.75" style="45" customWidth="1"/>
    <col min="3" max="3" width="38.625" style="45" bestFit="1" customWidth="1"/>
    <col min="4" max="4" width="9.5" style="65" hidden="1" customWidth="1"/>
    <col min="5" max="5" width="19.75" style="51" bestFit="1" customWidth="1"/>
    <col min="6" max="6" width="17" style="88" bestFit="1" customWidth="1"/>
    <col min="7" max="7" width="15.875" style="51" customWidth="1"/>
    <col min="8" max="8" width="7.25" style="269" bestFit="1" customWidth="1"/>
    <col min="9" max="9" width="10.25" style="70" customWidth="1"/>
    <col min="10" max="10" width="12.625" style="51" customWidth="1"/>
    <col min="11" max="11" width="11.5" style="85" bestFit="1" customWidth="1"/>
    <col min="12" max="12" width="11.5" style="266" customWidth="1"/>
    <col min="13" max="13" width="7.25" style="269" bestFit="1" customWidth="1"/>
    <col min="14" max="14" width="18" style="51" bestFit="1" customWidth="1"/>
    <col min="15" max="15" width="19.75" style="51" bestFit="1" customWidth="1"/>
    <col min="16" max="16" width="10.375" style="93" customWidth="1"/>
    <col min="17" max="17" width="10.375" style="274" customWidth="1"/>
    <col min="18" max="18" width="7.25" style="269" bestFit="1" customWidth="1"/>
    <col min="19" max="20" width="19.75" style="51" bestFit="1" customWidth="1"/>
    <col min="21" max="21" width="7.625" style="91" customWidth="1"/>
    <col min="22" max="31" width="7.625" style="45" customWidth="1"/>
    <col min="32" max="16384" width="12.625" style="45"/>
  </cols>
  <sheetData>
    <row r="2" spans="1:21" ht="15.95" customHeight="1" x14ac:dyDescent="0.2">
      <c r="B2" s="45" t="s">
        <v>41</v>
      </c>
      <c r="C2" s="45" t="s">
        <v>42</v>
      </c>
    </row>
    <row r="3" spans="1:21" ht="15.95" customHeight="1" x14ac:dyDescent="0.2">
      <c r="B3" s="45" t="s">
        <v>2</v>
      </c>
      <c r="C3" s="45" t="s">
        <v>43</v>
      </c>
    </row>
    <row r="4" spans="1:21" ht="15.95" customHeight="1" x14ac:dyDescent="0.2">
      <c r="B4" s="71"/>
    </row>
    <row r="5" spans="1:21" ht="15.95" customHeight="1" x14ac:dyDescent="0.2">
      <c r="B5" s="71"/>
    </row>
    <row r="6" spans="1:21" ht="15.95" customHeight="1" x14ac:dyDescent="0.2">
      <c r="B6" s="136" t="s">
        <v>44</v>
      </c>
    </row>
    <row r="7" spans="1:21" ht="35.25" customHeight="1" x14ac:dyDescent="0.2">
      <c r="B7" s="72" t="s">
        <v>5</v>
      </c>
      <c r="C7" s="73" t="s">
        <v>6</v>
      </c>
      <c r="D7" s="74" t="s">
        <v>50</v>
      </c>
      <c r="E7" s="10" t="s">
        <v>51</v>
      </c>
      <c r="F7" s="259" t="s">
        <v>45</v>
      </c>
      <c r="G7" s="267"/>
      <c r="H7" s="282" t="s">
        <v>1038</v>
      </c>
      <c r="I7" s="261" t="s">
        <v>52</v>
      </c>
      <c r="J7" s="10" t="s">
        <v>49</v>
      </c>
      <c r="K7" s="284" t="s">
        <v>46</v>
      </c>
      <c r="L7" s="283"/>
      <c r="M7" s="282" t="s">
        <v>1038</v>
      </c>
      <c r="N7" s="289" t="s">
        <v>53</v>
      </c>
      <c r="O7" s="77" t="s">
        <v>54</v>
      </c>
      <c r="P7" s="293" t="s">
        <v>422</v>
      </c>
      <c r="Q7" s="296"/>
      <c r="R7" s="282" t="s">
        <v>1038</v>
      </c>
      <c r="S7" s="289" t="s">
        <v>415</v>
      </c>
      <c r="T7" s="76" t="s">
        <v>55</v>
      </c>
      <c r="U7" s="101" t="s">
        <v>47</v>
      </c>
    </row>
    <row r="8" spans="1:21" ht="15.95" customHeight="1" x14ac:dyDescent="0.2">
      <c r="A8" s="71" t="s">
        <v>344</v>
      </c>
      <c r="B8" s="140" t="s">
        <v>15</v>
      </c>
      <c r="C8" s="78" t="s">
        <v>16</v>
      </c>
      <c r="D8" s="43">
        <v>46805</v>
      </c>
      <c r="E8" s="44">
        <v>17305688000000</v>
      </c>
      <c r="F8" s="260">
        <f t="shared" ref="F8:F39" si="0">D8/E8</f>
        <v>2.7046020938318083E-9</v>
      </c>
      <c r="G8" s="268"/>
      <c r="H8" s="270" t="s">
        <v>15</v>
      </c>
      <c r="I8" s="262">
        <v>13150</v>
      </c>
      <c r="J8" s="80">
        <v>9630</v>
      </c>
      <c r="K8" s="285">
        <f t="shared" ref="K8:K71" si="1">I8/J8</f>
        <v>1.3655244029075804</v>
      </c>
      <c r="M8" s="270" t="s">
        <v>15</v>
      </c>
      <c r="N8" s="68">
        <v>0</v>
      </c>
      <c r="O8" s="47">
        <f t="shared" ref="O8:O39" si="2">E8</f>
        <v>17305688000000</v>
      </c>
      <c r="P8" s="294">
        <f t="shared" ref="P8:P71" si="3">N8/O8</f>
        <v>0</v>
      </c>
      <c r="Q8" s="297"/>
      <c r="R8" s="270" t="s">
        <v>15</v>
      </c>
      <c r="S8" s="68">
        <v>10152225000000</v>
      </c>
      <c r="T8" s="47">
        <v>24935426000000</v>
      </c>
      <c r="U8" s="299">
        <f t="shared" ref="U8:U71" si="4">S8/T8</f>
        <v>0.40714062795638623</v>
      </c>
    </row>
    <row r="9" spans="1:21" ht="15.95" customHeight="1" x14ac:dyDescent="0.2">
      <c r="A9" s="81">
        <v>13569</v>
      </c>
      <c r="B9" s="140" t="s">
        <v>24</v>
      </c>
      <c r="C9" s="78" t="s">
        <v>25</v>
      </c>
      <c r="D9" s="43">
        <v>623</v>
      </c>
      <c r="E9" s="44">
        <v>2310290000000</v>
      </c>
      <c r="F9" s="260">
        <f t="shared" si="0"/>
        <v>2.6966311588588448E-10</v>
      </c>
      <c r="G9" s="268"/>
      <c r="H9" s="270" t="s">
        <v>24</v>
      </c>
      <c r="I9" s="137">
        <v>1795</v>
      </c>
      <c r="J9" s="47">
        <v>733</v>
      </c>
      <c r="K9" s="285">
        <f t="shared" si="1"/>
        <v>2.4488403819918143</v>
      </c>
      <c r="M9" s="270" t="s">
        <v>24</v>
      </c>
      <c r="N9" s="68">
        <v>0</v>
      </c>
      <c r="O9" s="47">
        <f t="shared" si="2"/>
        <v>2310290000000</v>
      </c>
      <c r="P9" s="294">
        <f t="shared" si="3"/>
        <v>0</v>
      </c>
      <c r="Q9" s="297"/>
      <c r="R9" s="270" t="s">
        <v>24</v>
      </c>
      <c r="S9" s="68">
        <v>512280000000</v>
      </c>
      <c r="T9" s="47">
        <v>2622336000000</v>
      </c>
      <c r="U9" s="299">
        <f t="shared" si="4"/>
        <v>0.19535254063552496</v>
      </c>
    </row>
    <row r="10" spans="1:21" ht="15.95" customHeight="1" x14ac:dyDescent="0.2">
      <c r="B10" s="140" t="s">
        <v>131</v>
      </c>
      <c r="C10" s="78" t="s">
        <v>28</v>
      </c>
      <c r="D10" s="43">
        <v>8786</v>
      </c>
      <c r="E10" s="44">
        <v>1504817000000</v>
      </c>
      <c r="F10" s="260">
        <f t="shared" si="0"/>
        <v>5.8385836948944624E-9</v>
      </c>
      <c r="G10" s="268"/>
      <c r="H10" s="270" t="s">
        <v>131</v>
      </c>
      <c r="I10" s="137">
        <v>163</v>
      </c>
      <c r="J10" s="47">
        <v>-187</v>
      </c>
      <c r="K10" s="285">
        <f t="shared" si="1"/>
        <v>-0.87165775401069523</v>
      </c>
      <c r="M10" s="270" t="s">
        <v>131</v>
      </c>
      <c r="N10" s="68">
        <v>0</v>
      </c>
      <c r="O10" s="47">
        <f t="shared" si="2"/>
        <v>1504817000000</v>
      </c>
      <c r="P10" s="294">
        <f t="shared" si="3"/>
        <v>0</v>
      </c>
      <c r="Q10" s="297"/>
      <c r="R10" s="270" t="s">
        <v>131</v>
      </c>
      <c r="S10" s="68">
        <v>6100891000000</v>
      </c>
      <c r="T10" s="47">
        <v>13883992000000</v>
      </c>
      <c r="U10" s="299">
        <f t="shared" si="4"/>
        <v>0.43941908062176932</v>
      </c>
    </row>
    <row r="11" spans="1:21" ht="15.95" customHeight="1" x14ac:dyDescent="0.2">
      <c r="B11" s="141" t="s">
        <v>57</v>
      </c>
      <c r="C11" s="49" t="s">
        <v>58</v>
      </c>
      <c r="D11" s="43">
        <v>1112</v>
      </c>
      <c r="E11" s="44">
        <v>3045954000000</v>
      </c>
      <c r="F11" s="260">
        <f t="shared" si="0"/>
        <v>3.6507445614740079E-10</v>
      </c>
      <c r="G11" s="268"/>
      <c r="H11" s="270" t="s">
        <v>57</v>
      </c>
      <c r="I11" s="137">
        <v>183</v>
      </c>
      <c r="J11" s="47">
        <v>192</v>
      </c>
      <c r="K11" s="285">
        <f t="shared" si="1"/>
        <v>0.953125</v>
      </c>
      <c r="M11" s="270" t="s">
        <v>57</v>
      </c>
      <c r="N11" s="68">
        <v>0</v>
      </c>
      <c r="O11" s="47">
        <f t="shared" si="2"/>
        <v>3045954000000</v>
      </c>
      <c r="P11" s="295">
        <f t="shared" si="3"/>
        <v>0</v>
      </c>
      <c r="Q11" s="298"/>
      <c r="R11" s="270" t="s">
        <v>57</v>
      </c>
      <c r="S11" s="68">
        <v>14851812000000</v>
      </c>
      <c r="T11" s="47">
        <v>15991148000000</v>
      </c>
      <c r="U11" s="299">
        <f t="shared" si="4"/>
        <v>0.92875208208941595</v>
      </c>
    </row>
    <row r="12" spans="1:21" ht="15.95" customHeight="1" x14ac:dyDescent="0.2">
      <c r="B12" s="141" t="s">
        <v>74</v>
      </c>
      <c r="C12" s="49" t="s">
        <v>75</v>
      </c>
      <c r="D12" s="43">
        <v>14813</v>
      </c>
      <c r="E12" s="44">
        <v>5159911000000</v>
      </c>
      <c r="F12" s="260">
        <f t="shared" si="0"/>
        <v>2.8707859496026192E-9</v>
      </c>
      <c r="G12" s="268"/>
      <c r="H12" s="270" t="s">
        <v>74</v>
      </c>
      <c r="I12" s="137">
        <v>436</v>
      </c>
      <c r="J12" s="47">
        <v>306</v>
      </c>
      <c r="K12" s="285">
        <f t="shared" si="1"/>
        <v>1.4248366013071896</v>
      </c>
      <c r="M12" s="270" t="s">
        <v>74</v>
      </c>
      <c r="N12" s="68">
        <v>0</v>
      </c>
      <c r="O12" s="47">
        <f t="shared" si="2"/>
        <v>5159911000000</v>
      </c>
      <c r="P12" s="295">
        <f t="shared" si="3"/>
        <v>0</v>
      </c>
      <c r="Q12" s="298"/>
      <c r="R12" s="270" t="s">
        <v>74</v>
      </c>
      <c r="S12" s="68">
        <v>2050834000000</v>
      </c>
      <c r="T12" s="47">
        <v>8336065000000</v>
      </c>
      <c r="U12" s="299">
        <f t="shared" si="4"/>
        <v>0.24601943482926297</v>
      </c>
    </row>
    <row r="13" spans="1:21" ht="15.95" customHeight="1" x14ac:dyDescent="0.2">
      <c r="B13" s="141" t="s">
        <v>106</v>
      </c>
      <c r="C13" s="49" t="s">
        <v>111</v>
      </c>
      <c r="D13" s="43">
        <v>14967</v>
      </c>
      <c r="E13" s="44">
        <v>4738022000000</v>
      </c>
      <c r="F13" s="260">
        <f t="shared" si="0"/>
        <v>3.1589131498334116E-9</v>
      </c>
      <c r="G13" s="268"/>
      <c r="H13" s="270" t="s">
        <v>106</v>
      </c>
      <c r="I13" s="137">
        <v>1420</v>
      </c>
      <c r="J13" s="47">
        <v>1190</v>
      </c>
      <c r="K13" s="285">
        <f t="shared" si="1"/>
        <v>1.1932773109243697</v>
      </c>
      <c r="M13" s="270" t="s">
        <v>106</v>
      </c>
      <c r="N13" s="68">
        <v>0</v>
      </c>
      <c r="O13" s="47">
        <f t="shared" si="2"/>
        <v>4738022000000</v>
      </c>
      <c r="P13" s="295">
        <f t="shared" si="3"/>
        <v>0</v>
      </c>
      <c r="Q13" s="298"/>
      <c r="R13" s="270" t="s">
        <v>106</v>
      </c>
      <c r="S13" s="68">
        <v>3233981000000</v>
      </c>
      <c r="T13" s="47">
        <v>9744381000000</v>
      </c>
      <c r="U13" s="299">
        <f t="shared" si="4"/>
        <v>0.33188162490772888</v>
      </c>
    </row>
    <row r="14" spans="1:21" ht="15.95" customHeight="1" x14ac:dyDescent="0.25">
      <c r="B14" s="141" t="str">
        <f>'X2'!B31</f>
        <v>SGRO</v>
      </c>
      <c r="C14" s="41" t="str">
        <f>'X2'!C31</f>
        <v>SAMPOERNA AGRO TBK</v>
      </c>
      <c r="D14" s="43">
        <v>8259</v>
      </c>
      <c r="E14" s="300">
        <v>3616482911000</v>
      </c>
      <c r="F14" s="260">
        <f t="shared" si="0"/>
        <v>2.2837105008513061E-9</v>
      </c>
      <c r="G14" s="268"/>
      <c r="H14" s="270" t="s">
        <v>112</v>
      </c>
      <c r="I14" s="137">
        <v>2570</v>
      </c>
      <c r="J14" s="47">
        <v>2119</v>
      </c>
      <c r="K14" s="285">
        <f t="shared" si="1"/>
        <v>1.2128362435110902</v>
      </c>
      <c r="M14" s="270" t="s">
        <v>112</v>
      </c>
      <c r="N14" s="68">
        <v>0</v>
      </c>
      <c r="O14" s="47">
        <f t="shared" si="2"/>
        <v>3616482911000</v>
      </c>
      <c r="P14" s="295">
        <f t="shared" si="3"/>
        <v>0</v>
      </c>
      <c r="Q14" s="298"/>
      <c r="R14" s="270" t="s">
        <v>112</v>
      </c>
      <c r="S14" s="68">
        <v>1948594873000</v>
      </c>
      <c r="T14" s="47">
        <v>8284699367000</v>
      </c>
      <c r="U14" s="299">
        <f t="shared" si="4"/>
        <v>0.23520405348222215</v>
      </c>
    </row>
    <row r="15" spans="1:21" ht="15.95" customHeight="1" x14ac:dyDescent="0.2">
      <c r="B15" s="141" t="s">
        <v>115</v>
      </c>
      <c r="C15" s="41" t="s">
        <v>116</v>
      </c>
      <c r="D15" s="43">
        <v>37415</v>
      </c>
      <c r="E15" s="44">
        <v>15826648000000</v>
      </c>
      <c r="F15" s="260">
        <f t="shared" si="0"/>
        <v>2.3640508084845257E-9</v>
      </c>
      <c r="G15" s="268"/>
      <c r="H15" s="270" t="s">
        <v>115</v>
      </c>
      <c r="I15" s="137">
        <v>464</v>
      </c>
      <c r="J15" s="47">
        <v>1149</v>
      </c>
      <c r="K15" s="285">
        <f t="shared" si="1"/>
        <v>0.40382941688424717</v>
      </c>
      <c r="M15" s="270" t="s">
        <v>115</v>
      </c>
      <c r="N15" s="68">
        <v>221497000000</v>
      </c>
      <c r="O15" s="47">
        <f t="shared" si="2"/>
        <v>15826648000000</v>
      </c>
      <c r="P15" s="295">
        <f t="shared" si="3"/>
        <v>1.3995193423143043E-2</v>
      </c>
      <c r="Q15" s="298"/>
      <c r="R15" s="270" t="s">
        <v>115</v>
      </c>
      <c r="S15" s="68">
        <v>10261425000000</v>
      </c>
      <c r="T15" s="47">
        <v>33397766000000</v>
      </c>
      <c r="U15" s="299">
        <f t="shared" si="4"/>
        <v>0.307248844129275</v>
      </c>
    </row>
    <row r="16" spans="1:21" ht="15.95" customHeight="1" x14ac:dyDescent="0.2">
      <c r="B16" s="141" t="s">
        <v>119</v>
      </c>
      <c r="C16" s="41" t="s">
        <v>120</v>
      </c>
      <c r="D16" s="43">
        <v>5373</v>
      </c>
      <c r="E16" s="44">
        <v>3240831859000</v>
      </c>
      <c r="F16" s="260">
        <f t="shared" si="0"/>
        <v>1.65790767116746E-9</v>
      </c>
      <c r="G16" s="268"/>
      <c r="H16" s="270" t="s">
        <v>119</v>
      </c>
      <c r="I16" s="137">
        <v>1500</v>
      </c>
      <c r="J16" s="47">
        <v>425</v>
      </c>
      <c r="K16" s="285">
        <f t="shared" si="1"/>
        <v>3.5294117647058822</v>
      </c>
      <c r="M16" s="270" t="s">
        <v>119</v>
      </c>
      <c r="N16" s="68">
        <v>0</v>
      </c>
      <c r="O16" s="47">
        <f t="shared" si="2"/>
        <v>3240831859000</v>
      </c>
      <c r="P16" s="295">
        <f t="shared" si="3"/>
        <v>0</v>
      </c>
      <c r="Q16" s="298"/>
      <c r="R16" s="270" t="s">
        <v>119</v>
      </c>
      <c r="S16" s="68">
        <v>1937014303000</v>
      </c>
      <c r="T16" s="47">
        <v>9623672614000</v>
      </c>
      <c r="U16" s="299">
        <f t="shared" si="4"/>
        <v>0.20127599729256543</v>
      </c>
    </row>
    <row r="17" spans="2:21" ht="15.95" customHeight="1" x14ac:dyDescent="0.2">
      <c r="B17" s="226" t="str">
        <f>'X2'!B40</f>
        <v>BUDI</v>
      </c>
      <c r="C17" s="41" t="str">
        <f>'X2'!C40</f>
        <v>BUDI STARCH &amp; SWEETENER</v>
      </c>
      <c r="D17" s="43">
        <v>2046</v>
      </c>
      <c r="E17" s="44">
        <v>2510578000000</v>
      </c>
      <c r="F17" s="260">
        <f t="shared" si="0"/>
        <v>8.1495177604519752E-10</v>
      </c>
      <c r="G17" s="268"/>
      <c r="H17" s="270" t="s">
        <v>136</v>
      </c>
      <c r="I17" s="137">
        <v>94</v>
      </c>
      <c r="J17" s="47">
        <v>265</v>
      </c>
      <c r="K17" s="285">
        <f t="shared" si="1"/>
        <v>0.35471698113207545</v>
      </c>
      <c r="M17" s="270" t="s">
        <v>136</v>
      </c>
      <c r="N17" s="68">
        <v>2115000000</v>
      </c>
      <c r="O17" s="47">
        <f t="shared" si="2"/>
        <v>2510578000000</v>
      </c>
      <c r="P17" s="295">
        <f t="shared" si="3"/>
        <v>8.4243548696754289E-4</v>
      </c>
      <c r="Q17" s="298"/>
      <c r="R17" s="270" t="s">
        <v>136</v>
      </c>
      <c r="S17" s="68">
        <v>1863833000000</v>
      </c>
      <c r="T17" s="47">
        <v>2939456000000</v>
      </c>
      <c r="U17" s="299">
        <f t="shared" si="4"/>
        <v>0.63407412800191598</v>
      </c>
    </row>
    <row r="18" spans="2:21" ht="15.95" customHeight="1" x14ac:dyDescent="0.2">
      <c r="B18" s="226" t="str">
        <f>'X2'!B43</f>
        <v>CEKA</v>
      </c>
      <c r="C18" s="41" t="str">
        <f>'X2'!C43</f>
        <v>WILMAR CAHAYA INDONESIA</v>
      </c>
      <c r="D18" s="43">
        <v>384</v>
      </c>
      <c r="E18" s="44">
        <v>4257738486908</v>
      </c>
      <c r="F18" s="260">
        <f t="shared" si="0"/>
        <v>9.0188723704086283E-11</v>
      </c>
      <c r="G18" s="268"/>
      <c r="H18" s="270" t="s">
        <v>142</v>
      </c>
      <c r="I18" s="137">
        <v>1290</v>
      </c>
      <c r="J18" s="47">
        <v>1571</v>
      </c>
      <c r="K18" s="285">
        <f t="shared" si="1"/>
        <v>0.82113303628262257</v>
      </c>
      <c r="M18" s="270" t="s">
        <v>142</v>
      </c>
      <c r="N18" s="68">
        <v>0</v>
      </c>
      <c r="O18" s="47">
        <f t="shared" si="2"/>
        <v>4257738486908</v>
      </c>
      <c r="P18" s="295">
        <f t="shared" si="3"/>
        <v>0</v>
      </c>
      <c r="Q18" s="298"/>
      <c r="R18" s="270" t="s">
        <v>142</v>
      </c>
      <c r="S18" s="68">
        <v>212312805803</v>
      </c>
      <c r="T18" s="47">
        <v>1392636444501</v>
      </c>
      <c r="U18" s="299">
        <f t="shared" si="4"/>
        <v>0.15245386306048775</v>
      </c>
    </row>
    <row r="19" spans="2:21" ht="15.95" customHeight="1" x14ac:dyDescent="0.2">
      <c r="B19" s="226" t="str">
        <f>'X2'!B46</f>
        <v>DVLA</v>
      </c>
      <c r="C19" s="41" t="str">
        <f>'X2'!C46</f>
        <v>DARYA VARIA LABORATORIA</v>
      </c>
      <c r="D19" s="43">
        <v>1193</v>
      </c>
      <c r="E19" s="44">
        <v>1575647308000</v>
      </c>
      <c r="F19" s="260">
        <f t="shared" si="0"/>
        <v>7.5714913733727522E-10</v>
      </c>
      <c r="G19" s="268"/>
      <c r="H19" s="270" t="s">
        <v>149</v>
      </c>
      <c r="I19" s="137">
        <v>1960</v>
      </c>
      <c r="J19" s="47">
        <v>996</v>
      </c>
      <c r="K19" s="285">
        <f t="shared" si="1"/>
        <v>1.9678714859437751</v>
      </c>
      <c r="M19" s="270" t="s">
        <v>149</v>
      </c>
      <c r="N19" s="68">
        <v>256154962000</v>
      </c>
      <c r="O19" s="47">
        <f t="shared" si="2"/>
        <v>1575647308000</v>
      </c>
      <c r="P19" s="295">
        <f t="shared" si="3"/>
        <v>0.16257125607959977</v>
      </c>
      <c r="Q19" s="298"/>
      <c r="R19" s="270" t="s">
        <v>149</v>
      </c>
      <c r="S19" s="68">
        <v>395989095000</v>
      </c>
      <c r="T19" s="47">
        <v>1640886147000</v>
      </c>
      <c r="U19" s="299">
        <f t="shared" si="4"/>
        <v>0.2413263685137321</v>
      </c>
    </row>
    <row r="20" spans="2:21" ht="15.95" customHeight="1" x14ac:dyDescent="0.2">
      <c r="B20" s="226" t="str">
        <f>'X2'!B49</f>
        <v>GGRM</v>
      </c>
      <c r="C20" s="41" t="str">
        <f>'X2'!C49</f>
        <v>PT GUDANG GARAM</v>
      </c>
      <c r="D20" s="43">
        <v>35272</v>
      </c>
      <c r="E20" s="44">
        <v>83305925000000</v>
      </c>
      <c r="F20" s="260">
        <f t="shared" si="0"/>
        <v>4.2340325733133626E-10</v>
      </c>
      <c r="G20" s="268"/>
      <c r="H20" s="270" t="s">
        <v>154</v>
      </c>
      <c r="I20" s="137">
        <v>83800</v>
      </c>
      <c r="J20" s="47">
        <v>21926</v>
      </c>
      <c r="K20" s="285">
        <f t="shared" si="1"/>
        <v>3.82194654747788</v>
      </c>
      <c r="M20" s="270" t="s">
        <v>154</v>
      </c>
      <c r="N20" s="68">
        <v>2316533000000</v>
      </c>
      <c r="O20" s="47">
        <f t="shared" si="2"/>
        <v>83305925000000</v>
      </c>
      <c r="P20" s="295">
        <f t="shared" si="3"/>
        <v>2.7807541900531085E-2</v>
      </c>
      <c r="Q20" s="298"/>
      <c r="R20" s="270" t="s">
        <v>154</v>
      </c>
      <c r="S20" s="68">
        <v>21408575000000</v>
      </c>
      <c r="T20" s="47">
        <v>66759930000000</v>
      </c>
      <c r="U20" s="299">
        <f t="shared" si="4"/>
        <v>0.32068000970042959</v>
      </c>
    </row>
    <row r="21" spans="2:21" ht="15.95" customHeight="1" x14ac:dyDescent="0.2">
      <c r="B21" s="226" t="str">
        <f>'X2'!B52</f>
        <v>HMSP</v>
      </c>
      <c r="C21" s="41" t="str">
        <f>'X2'!C52</f>
        <v>PT HANJAYA MANDALA SAMPOERNA</v>
      </c>
      <c r="D21" s="43">
        <v>28212</v>
      </c>
      <c r="E21" s="44">
        <v>99091484000000</v>
      </c>
      <c r="F21" s="260">
        <f t="shared" si="0"/>
        <v>2.8470660506002717E-10</v>
      </c>
      <c r="G21" s="268"/>
      <c r="H21" s="270" t="s">
        <v>158</v>
      </c>
      <c r="I21" s="137">
        <v>4730</v>
      </c>
      <c r="J21" s="47">
        <v>293</v>
      </c>
      <c r="K21" s="285">
        <f t="shared" si="1"/>
        <v>16.143344709897612</v>
      </c>
      <c r="M21" s="270" t="s">
        <v>158</v>
      </c>
      <c r="N21" s="68">
        <v>2674708000000</v>
      </c>
      <c r="O21" s="47">
        <f t="shared" si="2"/>
        <v>99091484000000</v>
      </c>
      <c r="P21" s="295">
        <f t="shared" si="3"/>
        <v>2.6992309450123889E-2</v>
      </c>
      <c r="Q21" s="298"/>
      <c r="R21" s="270" t="s">
        <v>158</v>
      </c>
      <c r="S21" s="68">
        <v>6890750000000</v>
      </c>
      <c r="T21" s="47">
        <v>43141063000000</v>
      </c>
      <c r="U21" s="299">
        <f t="shared" si="4"/>
        <v>0.15972601324172286</v>
      </c>
    </row>
    <row r="22" spans="2:21" ht="15.95" customHeight="1" x14ac:dyDescent="0.2">
      <c r="B22" s="226" t="str">
        <f>'X2'!B55</f>
        <v>ICBP</v>
      </c>
      <c r="C22" s="41" t="str">
        <f>'X2'!C55</f>
        <v>INDOFOOD CBP SUKSES MAKMUR</v>
      </c>
      <c r="D22" s="43">
        <v>29535</v>
      </c>
      <c r="E22" s="44">
        <v>35606593000000</v>
      </c>
      <c r="F22" s="260">
        <f t="shared" si="0"/>
        <v>8.2948121433578322E-10</v>
      </c>
      <c r="G22" s="268"/>
      <c r="H22" s="270" t="s">
        <v>167</v>
      </c>
      <c r="I22" s="137">
        <v>8900</v>
      </c>
      <c r="J22" s="47">
        <v>1742</v>
      </c>
      <c r="K22" s="285">
        <f t="shared" si="1"/>
        <v>5.1090700344431692</v>
      </c>
      <c r="M22" s="270" t="s">
        <v>167</v>
      </c>
      <c r="N22" s="68">
        <v>1311735000000</v>
      </c>
      <c r="O22" s="47">
        <f t="shared" si="2"/>
        <v>35606593000000</v>
      </c>
      <c r="P22" s="295">
        <f t="shared" si="3"/>
        <v>3.6839666182046676E-2</v>
      </c>
      <c r="Q22" s="298"/>
      <c r="R22" s="270" t="s">
        <v>167</v>
      </c>
      <c r="S22" s="68">
        <v>8120254000000</v>
      </c>
      <c r="T22" s="47">
        <v>31619514000000</v>
      </c>
      <c r="U22" s="299">
        <f t="shared" si="4"/>
        <v>0.25681147407895011</v>
      </c>
    </row>
    <row r="23" spans="2:21" ht="15.95" customHeight="1" x14ac:dyDescent="0.2">
      <c r="B23" s="226" t="str">
        <f>'X2'!B58</f>
        <v>INDF</v>
      </c>
      <c r="C23" s="41" t="str">
        <f>'X2'!C58</f>
        <v>PT INDOFOOD SUKSES MAKMUR</v>
      </c>
      <c r="D23" s="43">
        <v>84898</v>
      </c>
      <c r="E23" s="44">
        <v>70186618000000</v>
      </c>
      <c r="F23" s="260">
        <f t="shared" si="0"/>
        <v>1.2096038022518766E-9</v>
      </c>
      <c r="G23" s="268"/>
      <c r="H23" s="270" t="s">
        <v>176</v>
      </c>
      <c r="I23" s="137">
        <v>7625</v>
      </c>
      <c r="J23" s="47">
        <v>5325</v>
      </c>
      <c r="K23" s="285">
        <f t="shared" si="1"/>
        <v>1.431924882629108</v>
      </c>
      <c r="M23" s="270" t="s">
        <v>176</v>
      </c>
      <c r="N23" s="68">
        <v>1448701000000</v>
      </c>
      <c r="O23" s="47">
        <f t="shared" si="2"/>
        <v>70186618000000</v>
      </c>
      <c r="P23" s="295">
        <f t="shared" si="3"/>
        <v>2.0640701052157834E-2</v>
      </c>
      <c r="Q23" s="298"/>
      <c r="R23" s="270" t="s">
        <v>176</v>
      </c>
      <c r="S23" s="68">
        <v>29787303000000</v>
      </c>
      <c r="T23" s="47">
        <v>87939488000000</v>
      </c>
      <c r="U23" s="299">
        <f t="shared" si="4"/>
        <v>0.33872499917215804</v>
      </c>
    </row>
    <row r="24" spans="2:21" ht="15.95" customHeight="1" x14ac:dyDescent="0.2">
      <c r="B24" s="226" t="str">
        <f>'X2'!B61</f>
        <v>KICI</v>
      </c>
      <c r="C24" s="41" t="str">
        <f>'X2'!C61</f>
        <v>PT KEDAUNG INDAH CAN</v>
      </c>
      <c r="D24" s="43">
        <v>693</v>
      </c>
      <c r="E24" s="44">
        <v>113414715049</v>
      </c>
      <c r="F24" s="260">
        <f t="shared" si="0"/>
        <v>6.1103182219396699E-9</v>
      </c>
      <c r="G24" s="268"/>
      <c r="H24" s="270" t="s">
        <v>181</v>
      </c>
      <c r="I24" s="137">
        <v>171</v>
      </c>
      <c r="J24" s="47">
        <v>331</v>
      </c>
      <c r="K24" s="285">
        <f t="shared" si="1"/>
        <v>0.5166163141993958</v>
      </c>
      <c r="M24" s="270" t="s">
        <v>181</v>
      </c>
      <c r="N24" s="68">
        <v>0</v>
      </c>
      <c r="O24" s="47">
        <f t="shared" si="2"/>
        <v>113414715049</v>
      </c>
      <c r="P24" s="295">
        <f t="shared" si="3"/>
        <v>0</v>
      </c>
      <c r="Q24" s="298"/>
      <c r="R24" s="270" t="s">
        <v>181</v>
      </c>
      <c r="S24" s="68">
        <v>45101494586</v>
      </c>
      <c r="T24" s="47">
        <v>59074367294</v>
      </c>
      <c r="U24" s="299">
        <f t="shared" si="4"/>
        <v>0.76346978650723218</v>
      </c>
    </row>
    <row r="25" spans="2:21" ht="15.95" customHeight="1" x14ac:dyDescent="0.2">
      <c r="B25" s="226" t="str">
        <f>'X2'!B64</f>
        <v>KLBF</v>
      </c>
      <c r="C25" s="41" t="str">
        <f>'X2'!C64</f>
        <v>PT KALBE FARMA</v>
      </c>
      <c r="D25" s="43">
        <v>12733</v>
      </c>
      <c r="E25" s="44">
        <v>20182120166616</v>
      </c>
      <c r="F25" s="260">
        <f t="shared" si="0"/>
        <v>6.3090497405035436E-10</v>
      </c>
      <c r="G25" s="268"/>
      <c r="H25" s="270" t="s">
        <v>184</v>
      </c>
      <c r="I25" s="137">
        <v>1690</v>
      </c>
      <c r="J25" s="47">
        <v>296</v>
      </c>
      <c r="K25" s="285">
        <f t="shared" si="1"/>
        <v>5.7094594594594597</v>
      </c>
      <c r="M25" s="270" t="s">
        <v>184</v>
      </c>
      <c r="N25" s="68">
        <v>1770001487841</v>
      </c>
      <c r="O25" s="47">
        <f t="shared" si="2"/>
        <v>20182120166616</v>
      </c>
      <c r="P25" s="295">
        <f t="shared" si="3"/>
        <v>8.7701464129067361E-2</v>
      </c>
      <c r="Q25" s="298"/>
      <c r="R25" s="270" t="s">
        <v>184</v>
      </c>
      <c r="S25" s="68">
        <v>5342659713054</v>
      </c>
      <c r="T25" s="47">
        <v>16616239416335</v>
      </c>
      <c r="U25" s="299">
        <f t="shared" si="4"/>
        <v>0.32153242254091308</v>
      </c>
    </row>
    <row r="26" spans="2:21" ht="15.95" customHeight="1" x14ac:dyDescent="0.2">
      <c r="B26" s="226" t="str">
        <f>'X2'!B67</f>
        <v>MBTO</v>
      </c>
      <c r="C26" s="41" t="str">
        <f>'X2'!C67</f>
        <v>PT MARTINA BERTO</v>
      </c>
      <c r="D26" s="43">
        <v>774</v>
      </c>
      <c r="E26" s="44">
        <v>731577343628</v>
      </c>
      <c r="F26" s="260">
        <f t="shared" si="0"/>
        <v>1.0579879307929627E-9</v>
      </c>
      <c r="G26" s="268"/>
      <c r="H26" s="270" t="s">
        <v>188</v>
      </c>
      <c r="I26" s="137">
        <v>135</v>
      </c>
      <c r="J26" s="51">
        <v>385</v>
      </c>
      <c r="K26" s="285">
        <f t="shared" si="1"/>
        <v>0.35064935064935066</v>
      </c>
      <c r="M26" s="270" t="s">
        <v>188</v>
      </c>
      <c r="N26" s="68">
        <v>134663630684</v>
      </c>
      <c r="O26" s="47">
        <f t="shared" si="2"/>
        <v>731577343628</v>
      </c>
      <c r="P26" s="295">
        <f t="shared" si="3"/>
        <v>0.18407299222278151</v>
      </c>
      <c r="Q26" s="298"/>
      <c r="R26" s="270" t="s">
        <v>188</v>
      </c>
      <c r="S26" s="68">
        <v>151096093283</v>
      </c>
      <c r="T26" s="47">
        <v>780669761787</v>
      </c>
      <c r="U26" s="299">
        <f t="shared" si="4"/>
        <v>0.19354674752245041</v>
      </c>
    </row>
    <row r="27" spans="2:21" ht="15.95" customHeight="1" x14ac:dyDescent="0.2">
      <c r="B27" s="226" t="str">
        <f>'X2'!B70</f>
        <v>KINO</v>
      </c>
      <c r="C27" s="41" t="str">
        <f>'X2'!C70</f>
        <v>PT KINO INDONESIA</v>
      </c>
      <c r="D27" s="43">
        <v>6069</v>
      </c>
      <c r="E27" s="44">
        <v>3160637269263</v>
      </c>
      <c r="F27" s="260">
        <f t="shared" si="0"/>
        <v>1.920182381895147E-9</v>
      </c>
      <c r="G27" s="268"/>
      <c r="H27" s="270" t="s">
        <v>190</v>
      </c>
      <c r="I27" s="137">
        <v>2120</v>
      </c>
      <c r="J27" s="47">
        <v>1438</v>
      </c>
      <c r="K27" s="285">
        <f t="shared" si="1"/>
        <v>1.4742698191933241</v>
      </c>
      <c r="M27" s="270" t="s">
        <v>190</v>
      </c>
      <c r="N27" s="68">
        <v>617739047245</v>
      </c>
      <c r="O27" s="47">
        <f t="shared" si="2"/>
        <v>3160637269263</v>
      </c>
      <c r="P27" s="295">
        <f t="shared" si="3"/>
        <v>0.19544762483581196</v>
      </c>
      <c r="Q27" s="298"/>
      <c r="R27" s="270" t="s">
        <v>190</v>
      </c>
      <c r="S27" s="68">
        <v>1247283242755</v>
      </c>
      <c r="T27" s="47">
        <v>3237595219274</v>
      </c>
      <c r="U27" s="299">
        <f t="shared" si="4"/>
        <v>0.38524990256029951</v>
      </c>
    </row>
    <row r="28" spans="2:21" ht="15.95" customHeight="1" x14ac:dyDescent="0.2">
      <c r="B28" s="226" t="str">
        <f>'X2'!B73</f>
        <v>MLBI</v>
      </c>
      <c r="C28" s="41" t="str">
        <f>'X2'!C73</f>
        <v>PT MULTI BINTANG INDONESIA</v>
      </c>
      <c r="D28" s="43">
        <v>456</v>
      </c>
      <c r="E28" s="44">
        <v>2429365000000</v>
      </c>
      <c r="F28" s="260">
        <f t="shared" si="0"/>
        <v>1.8770337104552013E-10</v>
      </c>
      <c r="G28" s="268"/>
      <c r="H28" s="270" t="s">
        <v>193</v>
      </c>
      <c r="I28" s="137">
        <v>13675</v>
      </c>
      <c r="J28" s="47">
        <v>505</v>
      </c>
      <c r="K28" s="285">
        <f t="shared" si="1"/>
        <v>27.079207920792079</v>
      </c>
      <c r="M28" s="270" t="s">
        <v>193</v>
      </c>
      <c r="N28" s="68">
        <v>266382000000</v>
      </c>
      <c r="O28" s="47">
        <f t="shared" si="2"/>
        <v>2429365000000</v>
      </c>
      <c r="P28" s="295">
        <f t="shared" si="3"/>
        <v>0.10965087584615733</v>
      </c>
      <c r="Q28" s="298"/>
      <c r="R28" s="270" t="s">
        <v>193</v>
      </c>
      <c r="S28" s="68">
        <v>1360817000000</v>
      </c>
      <c r="T28" s="47">
        <v>2148907000000</v>
      </c>
      <c r="U28" s="299">
        <f t="shared" si="4"/>
        <v>0.63326007128274975</v>
      </c>
    </row>
    <row r="29" spans="2:21" ht="15.95" customHeight="1" x14ac:dyDescent="0.2">
      <c r="B29" s="226" t="str">
        <f>'X2'!B76</f>
        <v>MRAT</v>
      </c>
      <c r="C29" s="41" t="str">
        <f>'X2'!C76</f>
        <v>PT MUSTIKA RATU</v>
      </c>
      <c r="D29" s="43">
        <v>2017</v>
      </c>
      <c r="E29" s="44">
        <v>344678666245</v>
      </c>
      <c r="F29" s="260">
        <f t="shared" si="0"/>
        <v>5.8518272162696091E-9</v>
      </c>
      <c r="G29" s="268"/>
      <c r="H29" s="270" t="s">
        <v>196</v>
      </c>
      <c r="I29" s="137">
        <v>206</v>
      </c>
      <c r="J29" s="47">
        <v>856</v>
      </c>
      <c r="K29" s="285">
        <f t="shared" si="1"/>
        <v>0.24065420560747663</v>
      </c>
      <c r="M29" s="270" t="s">
        <v>196</v>
      </c>
      <c r="N29" s="68">
        <v>71613408532</v>
      </c>
      <c r="O29" s="47">
        <f t="shared" si="2"/>
        <v>344678666245</v>
      </c>
      <c r="P29" s="295">
        <f t="shared" si="3"/>
        <v>0.20776861333534546</v>
      </c>
      <c r="R29" s="270" t="s">
        <v>196</v>
      </c>
      <c r="S29" s="68">
        <v>62835680941</v>
      </c>
      <c r="T29" s="47">
        <v>497354419089</v>
      </c>
      <c r="U29" s="299">
        <f t="shared" si="4"/>
        <v>0.12633984645415558</v>
      </c>
    </row>
    <row r="30" spans="2:21" ht="15.95" customHeight="1" x14ac:dyDescent="0.2">
      <c r="B30" s="226" t="str">
        <f>'X2'!B79</f>
        <v>MYOR</v>
      </c>
      <c r="C30" s="41" t="str">
        <f>'X2'!C79</f>
        <v>PT MAYORA INDAH</v>
      </c>
      <c r="D30" s="43">
        <v>6350</v>
      </c>
      <c r="E30" s="44">
        <v>20818673946473</v>
      </c>
      <c r="F30" s="260">
        <f t="shared" si="0"/>
        <v>3.0501462371361968E-10</v>
      </c>
      <c r="G30" s="268"/>
      <c r="H30" s="270" t="s">
        <v>199</v>
      </c>
      <c r="I30" s="137">
        <v>2020</v>
      </c>
      <c r="J30" s="47">
        <v>328</v>
      </c>
      <c r="K30" s="285">
        <f t="shared" si="1"/>
        <v>6.1585365853658534</v>
      </c>
      <c r="M30" s="270" t="s">
        <v>199</v>
      </c>
      <c r="N30" s="68">
        <v>1419754875248</v>
      </c>
      <c r="O30" s="47">
        <f t="shared" si="2"/>
        <v>20818673946473</v>
      </c>
      <c r="P30" s="295">
        <f t="shared" si="3"/>
        <v>6.8196220321156811E-2</v>
      </c>
      <c r="R30" s="270" t="s">
        <v>199</v>
      </c>
      <c r="S30" s="68">
        <v>3988757428380</v>
      </c>
      <c r="T30" s="47">
        <v>14915849800251</v>
      </c>
      <c r="U30" s="299">
        <f t="shared" si="4"/>
        <v>0.26741737693771078</v>
      </c>
    </row>
    <row r="31" spans="2:21" ht="15.95" customHeight="1" x14ac:dyDescent="0.2">
      <c r="B31" s="226" t="str">
        <f>'X2'!B82</f>
        <v>RMBA</v>
      </c>
      <c r="C31" s="42" t="str">
        <f>'X2'!C82</f>
        <v>PT BENTOEL INTERNASIONAL INVESTAMA</v>
      </c>
      <c r="D31" s="43">
        <v>5447</v>
      </c>
      <c r="E31" s="44">
        <v>20258870000000</v>
      </c>
      <c r="F31" s="260">
        <f t="shared" si="0"/>
        <v>2.6886988267361406E-10</v>
      </c>
      <c r="G31" s="268"/>
      <c r="H31" s="270" t="s">
        <v>205</v>
      </c>
      <c r="I31" s="137">
        <v>380</v>
      </c>
      <c r="J31" s="47">
        <v>245</v>
      </c>
      <c r="K31" s="285">
        <f t="shared" si="1"/>
        <v>1.5510204081632653</v>
      </c>
      <c r="M31" s="270" t="s">
        <v>205</v>
      </c>
      <c r="N31" s="68">
        <v>840048000000</v>
      </c>
      <c r="O31" s="47">
        <f t="shared" si="2"/>
        <v>20258870000000</v>
      </c>
      <c r="P31" s="295">
        <f t="shared" si="3"/>
        <v>4.1465688856288631E-2</v>
      </c>
      <c r="R31" s="270" t="s">
        <v>205</v>
      </c>
      <c r="S31" s="68">
        <v>4987984000000</v>
      </c>
      <c r="T31" s="47">
        <v>14083598000000</v>
      </c>
      <c r="U31" s="299">
        <f t="shared" si="4"/>
        <v>0.3541697228222504</v>
      </c>
    </row>
    <row r="32" spans="2:21" ht="15.95" customHeight="1" x14ac:dyDescent="0.2">
      <c r="B32" s="226" t="str">
        <f>'X2'!B85</f>
        <v>ROTI</v>
      </c>
      <c r="C32" s="42" t="str">
        <f>'X2'!C85</f>
        <v>PT NIPPON INDOSARI CORPINDO</v>
      </c>
      <c r="D32" s="43">
        <v>2889</v>
      </c>
      <c r="E32" s="44">
        <v>2491100179560</v>
      </c>
      <c r="F32" s="260">
        <f t="shared" si="0"/>
        <v>1.1597285503428772E-9</v>
      </c>
      <c r="G32" s="268"/>
      <c r="H32" s="270" t="s">
        <v>208</v>
      </c>
      <c r="I32" s="137">
        <v>1275</v>
      </c>
      <c r="J32" s="47">
        <v>455</v>
      </c>
      <c r="K32" s="285">
        <f t="shared" si="1"/>
        <v>2.802197802197802</v>
      </c>
      <c r="M32" s="270" t="s">
        <v>208</v>
      </c>
      <c r="N32" s="68">
        <v>151645244812</v>
      </c>
      <c r="O32" s="47">
        <f t="shared" si="2"/>
        <v>2491100179560</v>
      </c>
      <c r="P32" s="295">
        <f t="shared" si="3"/>
        <v>6.0874807868539799E-2</v>
      </c>
      <c r="R32" s="270" t="s">
        <v>208</v>
      </c>
      <c r="S32" s="68">
        <v>1993663314016</v>
      </c>
      <c r="T32" s="47">
        <v>4559573709411</v>
      </c>
      <c r="U32" s="299">
        <f t="shared" si="4"/>
        <v>0.4372477431170948</v>
      </c>
    </row>
    <row r="33" spans="2:21" ht="15.95" customHeight="1" x14ac:dyDescent="0.2">
      <c r="B33" s="226" t="str">
        <f>'X2'!B88</f>
        <v>SIDO</v>
      </c>
      <c r="C33" s="42" t="str">
        <f>'X2'!C88</f>
        <v>PT INDUSTRI JAMU DAN FARMASI SIDO MUNCUL</v>
      </c>
      <c r="D33" s="43">
        <v>4658</v>
      </c>
      <c r="E33" s="44">
        <v>2573840000000</v>
      </c>
      <c r="F33" s="260">
        <f t="shared" si="0"/>
        <v>1.8097473036396979E-9</v>
      </c>
      <c r="G33" s="268"/>
      <c r="H33" s="270" t="s">
        <v>210</v>
      </c>
      <c r="I33" s="137">
        <v>273</v>
      </c>
      <c r="J33" s="47">
        <v>96</v>
      </c>
      <c r="K33" s="285">
        <f t="shared" si="1"/>
        <v>2.84375</v>
      </c>
      <c r="M33" s="270" t="s">
        <v>210</v>
      </c>
      <c r="N33" s="68">
        <v>244651000000</v>
      </c>
      <c r="O33" s="47">
        <f t="shared" si="2"/>
        <v>2573840000000</v>
      </c>
      <c r="P33" s="295">
        <f t="shared" si="3"/>
        <v>9.5052917042240392E-2</v>
      </c>
      <c r="R33" s="270" t="s">
        <v>210</v>
      </c>
      <c r="S33" s="68">
        <v>1215176000000</v>
      </c>
      <c r="T33" s="47">
        <v>3158198000000</v>
      </c>
      <c r="U33" s="299">
        <f t="shared" si="4"/>
        <v>0.3847687827045676</v>
      </c>
    </row>
    <row r="34" spans="2:21" ht="15.95" customHeight="1" x14ac:dyDescent="0.2">
      <c r="B34" s="226" t="str">
        <f>'X2'!B91</f>
        <v>TBLA</v>
      </c>
      <c r="C34" s="42" t="str">
        <f>'X2'!C91</f>
        <v>PT TUNAS BARU LAMPUNG</v>
      </c>
      <c r="D34" s="43">
        <v>3772</v>
      </c>
      <c r="E34" s="44">
        <v>8974708000000</v>
      </c>
      <c r="F34" s="260">
        <f t="shared" si="0"/>
        <v>4.202922256634979E-10</v>
      </c>
      <c r="G34" s="268"/>
      <c r="H34" s="270" t="s">
        <v>212</v>
      </c>
      <c r="I34" s="137">
        <v>1225</v>
      </c>
      <c r="J34" s="47">
        <v>748</v>
      </c>
      <c r="K34" s="285">
        <f t="shared" si="1"/>
        <v>1.6377005347593583</v>
      </c>
      <c r="M34" s="270" t="s">
        <v>212</v>
      </c>
      <c r="N34" s="68">
        <v>2707000000</v>
      </c>
      <c r="O34" s="47">
        <f t="shared" si="2"/>
        <v>8974708000000</v>
      </c>
      <c r="P34" s="295">
        <f t="shared" si="3"/>
        <v>3.0162541221396839E-4</v>
      </c>
      <c r="R34" s="270" t="s">
        <v>212</v>
      </c>
      <c r="S34" s="68">
        <v>6192524000000</v>
      </c>
      <c r="T34" s="47">
        <v>14024486000000</v>
      </c>
      <c r="U34" s="299">
        <f t="shared" si="4"/>
        <v>0.44155087038483976</v>
      </c>
    </row>
    <row r="35" spans="2:21" ht="15.95" customHeight="1" x14ac:dyDescent="0.2">
      <c r="B35" s="226" t="str">
        <f>'X2'!B94</f>
        <v>TCID</v>
      </c>
      <c r="C35" s="42" t="str">
        <f>'X2'!C94</f>
        <v>PT MANDOM INDONESIA</v>
      </c>
      <c r="D35" s="43">
        <v>5247</v>
      </c>
      <c r="E35" s="44">
        <v>2706394847919</v>
      </c>
      <c r="F35" s="260">
        <f t="shared" si="0"/>
        <v>1.9387414973962579E-9</v>
      </c>
      <c r="G35" s="268"/>
      <c r="H35" s="270" t="s">
        <v>215</v>
      </c>
      <c r="I35" s="137">
        <v>17900</v>
      </c>
      <c r="J35" s="47">
        <v>9242</v>
      </c>
      <c r="K35" s="285">
        <f t="shared" si="1"/>
        <v>1.9368102142393422</v>
      </c>
      <c r="M35" s="270" t="s">
        <v>215</v>
      </c>
      <c r="N35" s="68">
        <v>98495091844</v>
      </c>
      <c r="O35" s="47">
        <f t="shared" si="2"/>
        <v>2706394847919</v>
      </c>
      <c r="P35" s="295">
        <f t="shared" si="3"/>
        <v>3.6393467095067376E-2</v>
      </c>
      <c r="R35" s="270" t="s">
        <v>215</v>
      </c>
      <c r="S35" s="68">
        <v>964642806296</v>
      </c>
      <c r="T35" s="47">
        <v>2361807189430</v>
      </c>
      <c r="U35" s="299">
        <f t="shared" si="4"/>
        <v>0.40843418997670489</v>
      </c>
    </row>
    <row r="36" spans="2:21" ht="15.95" customHeight="1" x14ac:dyDescent="0.2">
      <c r="B36" s="226" t="str">
        <f>'X2'!B97</f>
        <v>TSPC</v>
      </c>
      <c r="C36" s="42" t="str">
        <f>'X2'!C97</f>
        <v>PT TEMPO SCAN PACIFIC</v>
      </c>
      <c r="D36" s="43">
        <v>5835</v>
      </c>
      <c r="E36" s="44">
        <v>9565462045199</v>
      </c>
      <c r="F36" s="260">
        <f t="shared" si="0"/>
        <v>6.1000712484439209E-10</v>
      </c>
      <c r="G36" s="268"/>
      <c r="H36" s="270" t="s">
        <v>219</v>
      </c>
      <c r="I36" s="137">
        <v>1800</v>
      </c>
      <c r="J36" s="47">
        <v>1129</v>
      </c>
      <c r="K36" s="285">
        <f t="shared" si="1"/>
        <v>1.5943312666076173</v>
      </c>
      <c r="M36" s="270" t="s">
        <v>219</v>
      </c>
      <c r="N36" s="68">
        <v>1564678969410</v>
      </c>
      <c r="O36" s="47">
        <f t="shared" si="2"/>
        <v>9565462045199</v>
      </c>
      <c r="P36" s="295">
        <f t="shared" si="3"/>
        <v>0.1635758902200995</v>
      </c>
      <c r="R36" s="270" t="s">
        <v>219</v>
      </c>
      <c r="S36" s="68">
        <v>1984179208981</v>
      </c>
      <c r="T36" s="47">
        <v>7434900309021</v>
      </c>
      <c r="U36" s="299">
        <f t="shared" si="4"/>
        <v>0.26687368041418558</v>
      </c>
    </row>
    <row r="37" spans="2:21" ht="15.95" customHeight="1" x14ac:dyDescent="0.2">
      <c r="B37" s="226" t="str">
        <f>'X2'!B100</f>
        <v>UNVR</v>
      </c>
      <c r="C37" s="42" t="str">
        <f>'X2'!C100</f>
        <v>PT UNILEVER INDONESIA</v>
      </c>
      <c r="D37" s="43">
        <v>6008</v>
      </c>
      <c r="E37" s="44">
        <v>41204510000000</v>
      </c>
      <c r="F37" s="260">
        <f t="shared" si="0"/>
        <v>1.4580928155680045E-10</v>
      </c>
      <c r="G37" s="268"/>
      <c r="H37" s="270" t="s">
        <v>223</v>
      </c>
      <c r="I37" s="137">
        <v>11180</v>
      </c>
      <c r="J37" s="47">
        <v>135</v>
      </c>
      <c r="K37" s="285">
        <f t="shared" si="1"/>
        <v>82.81481481481481</v>
      </c>
      <c r="M37" s="270" t="s">
        <v>223</v>
      </c>
      <c r="N37" s="68">
        <v>2667233000000</v>
      </c>
      <c r="O37" s="47">
        <f t="shared" si="2"/>
        <v>41204510000000</v>
      </c>
      <c r="P37" s="295">
        <f t="shared" si="3"/>
        <v>6.4731579140244605E-2</v>
      </c>
      <c r="R37" s="270" t="s">
        <v>223</v>
      </c>
      <c r="S37" s="68">
        <v>10422133000000</v>
      </c>
      <c r="T37" s="47">
        <v>18906413000000</v>
      </c>
      <c r="U37" s="299">
        <f t="shared" si="4"/>
        <v>0.55124856311982606</v>
      </c>
    </row>
    <row r="38" spans="2:21" ht="15.95" customHeight="1" x14ac:dyDescent="0.2">
      <c r="B38" s="227" t="str">
        <f>'X2'!B103</f>
        <v>BLTA</v>
      </c>
      <c r="C38" s="42" t="str">
        <f>'X2'!C103</f>
        <v>PT BERLIAN LAJU TANKER</v>
      </c>
      <c r="D38" s="43">
        <v>66</v>
      </c>
      <c r="E38" s="44">
        <f>25247152*A9</f>
        <v>342578605488</v>
      </c>
      <c r="F38" s="260">
        <f t="shared" si="0"/>
        <v>1.9265651427935383E-10</v>
      </c>
      <c r="G38" s="268"/>
      <c r="H38" s="270" t="s">
        <v>236</v>
      </c>
      <c r="I38" s="137">
        <v>196</v>
      </c>
      <c r="J38" s="47">
        <v>15</v>
      </c>
      <c r="K38" s="285">
        <f t="shared" si="1"/>
        <v>13.066666666666666</v>
      </c>
      <c r="M38" s="270" t="s">
        <v>236</v>
      </c>
      <c r="N38" s="68">
        <v>0</v>
      </c>
      <c r="O38" s="47">
        <f t="shared" si="2"/>
        <v>342578605488</v>
      </c>
      <c r="P38" s="295">
        <f t="shared" si="3"/>
        <v>0</v>
      </c>
      <c r="R38" s="270" t="s">
        <v>236</v>
      </c>
      <c r="S38" s="68">
        <f>30078905*A9</f>
        <v>408140661945</v>
      </c>
      <c r="T38" s="47">
        <f>79101200*A9</f>
        <v>1073324182800</v>
      </c>
      <c r="U38" s="299">
        <f t="shared" si="4"/>
        <v>0.38025851693779616</v>
      </c>
    </row>
    <row r="39" spans="2:21" ht="15.95" customHeight="1" x14ac:dyDescent="0.2">
      <c r="B39" s="227" t="str">
        <f>'X2'!B106</f>
        <v>BBRM</v>
      </c>
      <c r="C39" s="42" t="str">
        <f>'X2'!C106</f>
        <v>PT PELAYARAN NASIONAL BINA BUANA RAYA</v>
      </c>
      <c r="D39" s="43">
        <v>30</v>
      </c>
      <c r="E39" s="44">
        <f>23575803*A9</f>
        <v>319900070907</v>
      </c>
      <c r="F39" s="260">
        <f t="shared" si="0"/>
        <v>9.3779285246615259E-11</v>
      </c>
      <c r="G39" s="268"/>
      <c r="H39" s="270" t="s">
        <v>241</v>
      </c>
      <c r="I39" s="137">
        <v>50</v>
      </c>
      <c r="J39" s="47">
        <v>76</v>
      </c>
      <c r="K39" s="285">
        <f t="shared" si="1"/>
        <v>0.65789473684210531</v>
      </c>
      <c r="M39" s="270" t="s">
        <v>241</v>
      </c>
      <c r="N39" s="68">
        <v>0</v>
      </c>
      <c r="O39" s="47">
        <f t="shared" si="2"/>
        <v>319900070907</v>
      </c>
      <c r="P39" s="295">
        <f t="shared" si="3"/>
        <v>0</v>
      </c>
      <c r="R39" s="270" t="s">
        <v>241</v>
      </c>
      <c r="S39" s="68">
        <f>90169434*A9</f>
        <v>1223509049946</v>
      </c>
      <c r="T39" s="47">
        <f>95741257*A9</f>
        <v>1299113116233</v>
      </c>
      <c r="U39" s="299">
        <f t="shared" si="4"/>
        <v>0.94180332309612358</v>
      </c>
    </row>
    <row r="40" spans="2:21" ht="15.95" customHeight="1" x14ac:dyDescent="0.2">
      <c r="B40" s="227" t="str">
        <f>'X2'!B109</f>
        <v>BTEL</v>
      </c>
      <c r="C40" s="42" t="str">
        <f>'X2'!C109</f>
        <v>PT BAKRIE TELECOM</v>
      </c>
      <c r="D40" s="43">
        <v>10</v>
      </c>
      <c r="E40" s="44">
        <v>7871000000</v>
      </c>
      <c r="F40" s="260">
        <f t="shared" ref="F40:F71" si="5">D40/E40</f>
        <v>1.2704865963664083E-9</v>
      </c>
      <c r="G40" s="268"/>
      <c r="H40" s="270" t="s">
        <v>247</v>
      </c>
      <c r="I40" s="137">
        <v>50</v>
      </c>
      <c r="J40" s="47">
        <v>-384</v>
      </c>
      <c r="K40" s="285">
        <f t="shared" si="1"/>
        <v>-0.13020833333333334</v>
      </c>
      <c r="M40" s="270" t="s">
        <v>247</v>
      </c>
      <c r="N40" s="68">
        <v>1000000</v>
      </c>
      <c r="O40" s="47">
        <f t="shared" ref="O40:O71" si="6">E40</f>
        <v>7871000000</v>
      </c>
      <c r="P40" s="295">
        <f t="shared" si="3"/>
        <v>1.2704865963664082E-4</v>
      </c>
      <c r="R40" s="270" t="s">
        <v>247</v>
      </c>
      <c r="S40" s="68">
        <v>2471000000</v>
      </c>
      <c r="T40" s="47">
        <v>718022000000</v>
      </c>
      <c r="U40" s="299">
        <f t="shared" si="4"/>
        <v>3.4413987315151905E-3</v>
      </c>
    </row>
    <row r="41" spans="2:21" ht="15.95" customHeight="1" x14ac:dyDescent="0.2">
      <c r="B41" s="227" t="str">
        <f>'X2'!B112</f>
        <v>BULL</v>
      </c>
      <c r="C41" s="42" t="str">
        <f>'X2'!C112</f>
        <v>PT BUANA LINTAS LAUTAN</v>
      </c>
      <c r="D41" s="43">
        <v>158</v>
      </c>
      <c r="E41" s="44">
        <f>65091388*A9</f>
        <v>883225043772</v>
      </c>
      <c r="F41" s="260">
        <f t="shared" si="5"/>
        <v>1.7888985498557362E-10</v>
      </c>
      <c r="G41" s="268"/>
      <c r="H41" s="270" t="s">
        <v>250</v>
      </c>
      <c r="I41" s="137">
        <v>128</v>
      </c>
      <c r="J41" s="47">
        <v>164</v>
      </c>
      <c r="K41" s="285">
        <f t="shared" si="1"/>
        <v>0.78048780487804881</v>
      </c>
      <c r="M41" s="270" t="s">
        <v>250</v>
      </c>
      <c r="N41" s="68">
        <v>0</v>
      </c>
      <c r="O41" s="47">
        <f t="shared" si="6"/>
        <v>883225043772</v>
      </c>
      <c r="P41" s="295">
        <f t="shared" si="3"/>
        <v>0</v>
      </c>
      <c r="R41" s="270" t="s">
        <v>250</v>
      </c>
      <c r="S41" s="68">
        <f>230061998*A9</f>
        <v>3121711250862</v>
      </c>
      <c r="T41" s="47">
        <f>311061931*A9</f>
        <v>4220799341739</v>
      </c>
      <c r="U41" s="299">
        <f t="shared" si="4"/>
        <v>0.73960190904878043</v>
      </c>
    </row>
    <row r="42" spans="2:21" ht="15.95" customHeight="1" x14ac:dyDescent="0.2">
      <c r="B42" s="227" t="str">
        <f>'X2'!B115</f>
        <v>EXCL</v>
      </c>
      <c r="C42" s="42" t="str">
        <f>'X2'!C115</f>
        <v>PT XL AXIATA</v>
      </c>
      <c r="D42" s="43">
        <v>1652</v>
      </c>
      <c r="E42" s="44">
        <v>22875662000000</v>
      </c>
      <c r="F42" s="260">
        <f t="shared" si="5"/>
        <v>7.2216489297664917E-11</v>
      </c>
      <c r="G42" s="268"/>
      <c r="H42" s="270" t="s">
        <v>256</v>
      </c>
      <c r="I42" s="137">
        <v>2960</v>
      </c>
      <c r="J42" s="47">
        <v>2020</v>
      </c>
      <c r="K42" s="285">
        <f t="shared" si="1"/>
        <v>1.4653465346534653</v>
      </c>
      <c r="M42" s="270" t="s">
        <v>256</v>
      </c>
      <c r="N42" s="68">
        <v>571639000000</v>
      </c>
      <c r="O42" s="47">
        <f t="shared" si="6"/>
        <v>22875662000000</v>
      </c>
      <c r="P42" s="295">
        <f t="shared" si="3"/>
        <v>2.498895988234133E-2</v>
      </c>
      <c r="R42" s="270" t="s">
        <v>256</v>
      </c>
      <c r="S42" s="68">
        <v>34933877000000</v>
      </c>
      <c r="T42" s="47">
        <v>56321441000000</v>
      </c>
      <c r="U42" s="299">
        <f t="shared" si="4"/>
        <v>0.6202589347811609</v>
      </c>
    </row>
    <row r="43" spans="2:21" ht="15.95" customHeight="1" x14ac:dyDescent="0.2">
      <c r="B43" s="227" t="str">
        <f>'X2'!B118</f>
        <v>GIAA</v>
      </c>
      <c r="C43" s="42" t="str">
        <f>'X2'!C118</f>
        <v>PT GARUDA INDONESIA</v>
      </c>
      <c r="D43" s="43">
        <v>16551</v>
      </c>
      <c r="E43" s="44">
        <f>4177325781*A9</f>
        <v>56682133522389</v>
      </c>
      <c r="F43" s="260">
        <f t="shared" si="5"/>
        <v>2.9199677167166766E-10</v>
      </c>
      <c r="G43" s="268"/>
      <c r="H43" s="270" t="s">
        <v>264</v>
      </c>
      <c r="I43" s="137">
        <v>300</v>
      </c>
      <c r="J43" s="47">
        <v>487</v>
      </c>
      <c r="K43" s="285">
        <f t="shared" si="1"/>
        <v>0.61601642710472282</v>
      </c>
      <c r="M43" s="270" t="s">
        <v>264</v>
      </c>
      <c r="N43" s="68">
        <f>16994208*13548</f>
        <v>230237529984</v>
      </c>
      <c r="O43" s="47">
        <f t="shared" si="6"/>
        <v>56682133522389</v>
      </c>
      <c r="P43" s="295">
        <f t="shared" si="3"/>
        <v>4.0619065599049476E-3</v>
      </c>
      <c r="R43" s="270" t="s">
        <v>264</v>
      </c>
      <c r="S43" s="68">
        <f>900657607*A9</f>
        <v>12221023069383</v>
      </c>
      <c r="T43" s="47">
        <f>3763292093*A9</f>
        <v>51064110409917</v>
      </c>
      <c r="U43" s="299">
        <f t="shared" si="4"/>
        <v>0.23932705321367145</v>
      </c>
    </row>
    <row r="44" spans="2:21" ht="15.95" customHeight="1" x14ac:dyDescent="0.2">
      <c r="B44" s="227" t="str">
        <f>'X2'!B121</f>
        <v>HITS</v>
      </c>
      <c r="C44" s="42" t="str">
        <f>'X2'!C121</f>
        <v>HUMPUSS INTERMODA TRANSPORTASI</v>
      </c>
      <c r="D44" s="43">
        <v>173</v>
      </c>
      <c r="E44" s="44">
        <f>67707413*A9</f>
        <v>918721886997</v>
      </c>
      <c r="F44" s="260">
        <f t="shared" si="5"/>
        <v>1.8830508171028794E-10</v>
      </c>
      <c r="G44" s="268"/>
      <c r="H44" s="270" t="s">
        <v>266</v>
      </c>
      <c r="I44" s="137">
        <v>730</v>
      </c>
      <c r="J44" s="47">
        <v>78</v>
      </c>
      <c r="K44" s="285">
        <f t="shared" si="1"/>
        <v>9.3589743589743595</v>
      </c>
      <c r="M44" s="270" t="s">
        <v>266</v>
      </c>
      <c r="N44" s="68">
        <v>0</v>
      </c>
      <c r="O44" s="47">
        <f t="shared" si="6"/>
        <v>918721886997</v>
      </c>
      <c r="P44" s="295">
        <f t="shared" si="3"/>
        <v>0</v>
      </c>
      <c r="R44" s="270" t="s">
        <v>266</v>
      </c>
      <c r="S44" s="68">
        <f>125365540*A9</f>
        <v>1701085012260</v>
      </c>
      <c r="T44" s="47">
        <f>175558765*A9</f>
        <v>2382156882285</v>
      </c>
      <c r="U44" s="299">
        <f t="shared" si="4"/>
        <v>0.71409445150744821</v>
      </c>
    </row>
    <row r="45" spans="2:21" ht="15.95" customHeight="1" x14ac:dyDescent="0.2">
      <c r="B45" s="227" t="str">
        <f>'X2'!B124</f>
        <v>ISAT</v>
      </c>
      <c r="C45" s="42" t="str">
        <f>'X2'!C124</f>
        <v>PT INDOSAT</v>
      </c>
      <c r="D45" s="43">
        <v>4415</v>
      </c>
      <c r="E45" s="44">
        <v>29926098000000</v>
      </c>
      <c r="F45" s="260">
        <f t="shared" si="5"/>
        <v>1.4753009229602869E-10</v>
      </c>
      <c r="G45" s="268"/>
      <c r="H45" s="270" t="s">
        <v>276</v>
      </c>
      <c r="I45" s="137">
        <v>4800</v>
      </c>
      <c r="J45" s="47">
        <v>2726</v>
      </c>
      <c r="K45" s="285">
        <f t="shared" si="1"/>
        <v>1.7608217168011739</v>
      </c>
      <c r="M45" s="270" t="s">
        <v>276</v>
      </c>
      <c r="N45" s="68">
        <v>341306000000</v>
      </c>
      <c r="O45" s="47">
        <f t="shared" si="6"/>
        <v>29926098000000</v>
      </c>
      <c r="P45" s="295">
        <f t="shared" si="3"/>
        <v>1.1404961649193289E-2</v>
      </c>
      <c r="R45" s="270" t="s">
        <v>276</v>
      </c>
      <c r="S45" s="68">
        <v>35891716000000</v>
      </c>
      <c r="T45" s="47">
        <v>50661040000000</v>
      </c>
      <c r="U45" s="299">
        <f t="shared" si="4"/>
        <v>0.70846780879350291</v>
      </c>
    </row>
    <row r="46" spans="2:21" ht="15.95" customHeight="1" x14ac:dyDescent="0.2">
      <c r="B46" s="227" t="str">
        <f>'X2'!B127</f>
        <v>MBSS</v>
      </c>
      <c r="C46" s="42" t="str">
        <f>'X2'!C127</f>
        <v>PT MITRABAHTERA SEGARA SEJATI</v>
      </c>
      <c r="D46" s="43">
        <v>271</v>
      </c>
      <c r="E46" s="44">
        <f>68450538*A9</f>
        <v>928805350122</v>
      </c>
      <c r="F46" s="260">
        <f t="shared" si="5"/>
        <v>2.9177265178802398E-10</v>
      </c>
      <c r="G46" s="268"/>
      <c r="H46" s="270" t="s">
        <v>292</v>
      </c>
      <c r="I46" s="137">
        <v>590</v>
      </c>
      <c r="J46" s="47">
        <v>1444</v>
      </c>
      <c r="K46" s="285">
        <f t="shared" si="1"/>
        <v>0.40858725761772852</v>
      </c>
      <c r="M46" s="270" t="s">
        <v>292</v>
      </c>
      <c r="N46" s="68">
        <v>0</v>
      </c>
      <c r="O46" s="47">
        <f t="shared" si="6"/>
        <v>928805350122</v>
      </c>
      <c r="P46" s="295">
        <f t="shared" si="3"/>
        <v>0</v>
      </c>
      <c r="R46" s="270" t="s">
        <v>292</v>
      </c>
      <c r="S46" s="68">
        <f>186835533*A9</f>
        <v>2535171347277</v>
      </c>
      <c r="T46" s="47">
        <f>240103440*A9</f>
        <v>3257963577360</v>
      </c>
      <c r="U46" s="299">
        <f t="shared" si="4"/>
        <v>0.77814600657116784</v>
      </c>
    </row>
    <row r="47" spans="2:21" ht="15.95" customHeight="1" x14ac:dyDescent="0.2">
      <c r="B47" s="227" t="str">
        <f>'X2'!B130</f>
        <v>PGAS</v>
      </c>
      <c r="C47" s="42" t="str">
        <f>'X2'!C130</f>
        <v>PT PERUSAHAAN GAS NEGARA</v>
      </c>
      <c r="D47" s="43">
        <v>2301</v>
      </c>
      <c r="E47" s="44">
        <f>2969591811*A9</f>
        <v>40294391283459</v>
      </c>
      <c r="F47" s="260">
        <f t="shared" si="5"/>
        <v>5.7104721692236338E-11</v>
      </c>
      <c r="G47" s="268"/>
      <c r="H47" s="270" t="s">
        <v>301</v>
      </c>
      <c r="I47" s="137">
        <v>1750</v>
      </c>
      <c r="J47" s="47">
        <v>1769</v>
      </c>
      <c r="K47" s="285">
        <f t="shared" si="1"/>
        <v>0.98925946862634262</v>
      </c>
      <c r="M47" s="270" t="s">
        <v>301</v>
      </c>
      <c r="N47" s="68">
        <f>9079020*13548</f>
        <v>123002562960</v>
      </c>
      <c r="O47" s="47">
        <f t="shared" si="6"/>
        <v>40294391283459</v>
      </c>
      <c r="P47" s="295">
        <f t="shared" si="3"/>
        <v>3.0525976207138538E-3</v>
      </c>
      <c r="R47" s="270" t="s">
        <v>301</v>
      </c>
      <c r="S47" s="68">
        <f>1706413816*A9</f>
        <v>23154329069304</v>
      </c>
      <c r="T47" s="47">
        <f>6293128991*A9</f>
        <v>85391467278879</v>
      </c>
      <c r="U47" s="299">
        <f t="shared" si="4"/>
        <v>0.27115506744584383</v>
      </c>
    </row>
    <row r="48" spans="2:21" ht="15.95" customHeight="1" x14ac:dyDescent="0.2">
      <c r="B48" s="227" t="str">
        <f>'X2'!B133</f>
        <v>PTIS</v>
      </c>
      <c r="C48" s="42" t="str">
        <f>'X2'!C133</f>
        <v>PT INDO STRAITS</v>
      </c>
      <c r="D48" s="43">
        <v>164</v>
      </c>
      <c r="E48" s="44">
        <f>10983367*A9</f>
        <v>149033306823</v>
      </c>
      <c r="F48" s="260">
        <f t="shared" si="5"/>
        <v>1.1004251566045922E-9</v>
      </c>
      <c r="G48" s="268"/>
      <c r="H48" s="270" t="s">
        <v>297</v>
      </c>
      <c r="I48" s="137">
        <v>600</v>
      </c>
      <c r="J48" s="47">
        <v>397</v>
      </c>
      <c r="K48" s="285">
        <f t="shared" si="1"/>
        <v>1.5113350125944585</v>
      </c>
      <c r="M48" s="270" t="s">
        <v>297</v>
      </c>
      <c r="N48" s="68">
        <v>0</v>
      </c>
      <c r="O48" s="47">
        <f t="shared" si="6"/>
        <v>149033306823</v>
      </c>
      <c r="P48" s="295">
        <f t="shared" si="3"/>
        <v>0</v>
      </c>
      <c r="R48" s="270" t="s">
        <v>297</v>
      </c>
      <c r="S48" s="68">
        <f>34976224*A9</f>
        <v>474592383456</v>
      </c>
      <c r="T48" s="47">
        <f>39938073*A9</f>
        <v>541919712537</v>
      </c>
      <c r="U48" s="299">
        <f t="shared" si="4"/>
        <v>0.87576143195491685</v>
      </c>
    </row>
    <row r="49" spans="2:21" ht="15.95" customHeight="1" x14ac:dyDescent="0.2">
      <c r="B49" s="227" t="str">
        <f>'X2'!B136</f>
        <v>SMDR</v>
      </c>
      <c r="C49" s="42" t="str">
        <f>'X2'!C136</f>
        <v>SAMUDERA INDONESIA</v>
      </c>
      <c r="D49" s="43">
        <v>4000</v>
      </c>
      <c r="E49" s="44">
        <f>430754674*A9</f>
        <v>5844910171506</v>
      </c>
      <c r="F49" s="260">
        <f t="shared" si="5"/>
        <v>6.8435611200665542E-10</v>
      </c>
      <c r="G49" s="268"/>
      <c r="H49" s="270" t="s">
        <v>310</v>
      </c>
      <c r="I49" s="137">
        <v>390</v>
      </c>
      <c r="J49" s="47">
        <v>1257</v>
      </c>
      <c r="K49" s="285">
        <f t="shared" si="1"/>
        <v>0.31026252983293556</v>
      </c>
      <c r="M49" s="270" t="s">
        <v>310</v>
      </c>
      <c r="N49" s="68">
        <v>0</v>
      </c>
      <c r="O49" s="47">
        <f t="shared" si="6"/>
        <v>5844910171506</v>
      </c>
      <c r="P49" s="295">
        <f t="shared" si="3"/>
        <v>0</v>
      </c>
      <c r="R49" s="270" t="s">
        <v>310</v>
      </c>
      <c r="S49" s="68">
        <f>338632548*A9</f>
        <v>4594905043812</v>
      </c>
      <c r="T49" s="47">
        <f>588787653*A9</f>
        <v>7989259663557</v>
      </c>
      <c r="U49" s="299">
        <f t="shared" si="4"/>
        <v>0.57513527376906459</v>
      </c>
    </row>
    <row r="50" spans="2:21" ht="15.95" customHeight="1" x14ac:dyDescent="0.2">
      <c r="B50" s="227" t="str">
        <f>'X2'!B139</f>
        <v>SOCI</v>
      </c>
      <c r="C50" s="42" t="str">
        <f>'X2'!C139</f>
        <v xml:space="preserve">PT SOECHI LINES </v>
      </c>
      <c r="D50" s="43">
        <v>317</v>
      </c>
      <c r="E50" s="44">
        <f>138832152*A9</f>
        <v>1883813470488</v>
      </c>
      <c r="F50" s="260">
        <f t="shared" si="5"/>
        <v>1.6827568385413523E-10</v>
      </c>
      <c r="G50" s="268"/>
      <c r="H50" s="270" t="s">
        <v>314</v>
      </c>
      <c r="I50" s="263">
        <v>236</v>
      </c>
      <c r="J50" s="53">
        <v>599</v>
      </c>
      <c r="K50" s="286">
        <f t="shared" si="1"/>
        <v>0.39398998330550916</v>
      </c>
      <c r="M50" s="270" t="s">
        <v>314</v>
      </c>
      <c r="N50" s="290">
        <v>0</v>
      </c>
      <c r="O50" s="47">
        <f t="shared" si="6"/>
        <v>1883813470488</v>
      </c>
      <c r="P50" s="295">
        <f t="shared" si="3"/>
        <v>0</v>
      </c>
      <c r="R50" s="270" t="s">
        <v>314</v>
      </c>
      <c r="S50" s="290">
        <f>507819179*A9</f>
        <v>6890598439851</v>
      </c>
      <c r="T50" s="53">
        <f>586643112*A9</f>
        <v>7960160386728</v>
      </c>
      <c r="U50" s="299">
        <f t="shared" si="4"/>
        <v>0.86563562856594145</v>
      </c>
    </row>
    <row r="51" spans="2:21" ht="15.95" customHeight="1" x14ac:dyDescent="0.2">
      <c r="B51" s="227" t="str">
        <f>'X2'!B142</f>
        <v>TBIG</v>
      </c>
      <c r="C51" s="42" t="str">
        <f>'X2'!C142</f>
        <v>PT TOWER BERSAMA INFRASTRUCTURE</v>
      </c>
      <c r="D51" s="43">
        <v>591</v>
      </c>
      <c r="E51" s="44">
        <v>4023085000000</v>
      </c>
      <c r="F51" s="260">
        <f t="shared" si="5"/>
        <v>1.4690219073173944E-10</v>
      </c>
      <c r="G51" s="268"/>
      <c r="H51" s="270" t="s">
        <v>320</v>
      </c>
      <c r="I51" s="264">
        <v>1285</v>
      </c>
      <c r="J51" s="44">
        <v>140</v>
      </c>
      <c r="K51" s="287">
        <f t="shared" si="1"/>
        <v>9.1785714285714288</v>
      </c>
      <c r="M51" s="270" t="s">
        <v>320</v>
      </c>
      <c r="N51" s="291">
        <v>0</v>
      </c>
      <c r="O51" s="47">
        <f t="shared" si="6"/>
        <v>4023085000000</v>
      </c>
      <c r="P51" s="295">
        <f t="shared" si="3"/>
        <v>0</v>
      </c>
      <c r="R51" s="270" t="s">
        <v>320</v>
      </c>
      <c r="S51" s="291">
        <v>19798733000000</v>
      </c>
      <c r="T51" s="44">
        <v>25595785000000</v>
      </c>
      <c r="U51" s="299">
        <f t="shared" si="4"/>
        <v>0.77351536590887915</v>
      </c>
    </row>
    <row r="52" spans="2:21" ht="15.95" customHeight="1" x14ac:dyDescent="0.2">
      <c r="B52" s="227" t="str">
        <f>'X2'!B145</f>
        <v>TLKM</v>
      </c>
      <c r="C52" s="42" t="str">
        <f>'X2'!C145</f>
        <v>PT TELEKOMUNIKASI INDONESIA</v>
      </c>
      <c r="D52" s="43">
        <v>24065</v>
      </c>
      <c r="E52" s="44">
        <v>128256000000000</v>
      </c>
      <c r="F52" s="260">
        <f t="shared" si="5"/>
        <v>1.8763254740518962E-10</v>
      </c>
      <c r="G52" s="268"/>
      <c r="H52" s="270" t="s">
        <v>325</v>
      </c>
      <c r="I52" s="264">
        <v>4440</v>
      </c>
      <c r="J52" s="44">
        <v>1131</v>
      </c>
      <c r="K52" s="287">
        <f t="shared" si="1"/>
        <v>3.9257294429708223</v>
      </c>
      <c r="M52" s="270" t="s">
        <v>325</v>
      </c>
      <c r="N52" s="291">
        <v>0</v>
      </c>
      <c r="O52" s="47">
        <f t="shared" si="6"/>
        <v>128256000000000</v>
      </c>
      <c r="P52" s="295">
        <f t="shared" si="3"/>
        <v>0</v>
      </c>
      <c r="R52" s="270" t="s">
        <v>325</v>
      </c>
      <c r="S52" s="291">
        <v>130171000000000</v>
      </c>
      <c r="T52" s="44">
        <v>198484000000000</v>
      </c>
      <c r="U52" s="299">
        <f t="shared" si="4"/>
        <v>0.65582616231031221</v>
      </c>
    </row>
    <row r="53" spans="2:21" ht="15.95" customHeight="1" x14ac:dyDescent="0.2">
      <c r="B53" s="227" t="str">
        <f>'X2'!B148</f>
        <v>TMAS</v>
      </c>
      <c r="C53" s="42" t="str">
        <f>'X2'!C148</f>
        <v>PT PELAYARAN TEMPURAN EMAS</v>
      </c>
      <c r="D53" s="43">
        <v>438</v>
      </c>
      <c r="E53" s="44">
        <v>2000911017962</v>
      </c>
      <c r="F53" s="260">
        <f t="shared" si="5"/>
        <v>2.1890028895243866E-10</v>
      </c>
      <c r="G53" s="268"/>
      <c r="H53" s="270" t="s">
        <v>329</v>
      </c>
      <c r="I53" s="264">
        <v>229</v>
      </c>
      <c r="J53" s="44">
        <v>179</v>
      </c>
      <c r="K53" s="287">
        <f t="shared" si="1"/>
        <v>1.2793296089385475</v>
      </c>
      <c r="M53" s="270" t="s">
        <v>329</v>
      </c>
      <c r="N53" s="291">
        <v>0</v>
      </c>
      <c r="O53" s="47">
        <f t="shared" si="6"/>
        <v>2000911017962</v>
      </c>
      <c r="P53" s="295">
        <f t="shared" si="3"/>
        <v>0</v>
      </c>
      <c r="R53" s="270" t="s">
        <v>329</v>
      </c>
      <c r="S53" s="291">
        <v>2342071193507</v>
      </c>
      <c r="T53" s="44">
        <v>2918378214457</v>
      </c>
      <c r="U53" s="299">
        <f t="shared" si="4"/>
        <v>0.80252490301116475</v>
      </c>
    </row>
    <row r="54" spans="2:21" ht="15.95" customHeight="1" x14ac:dyDescent="0.2">
      <c r="B54" s="227" t="str">
        <f>'X2'!B151</f>
        <v>WINS</v>
      </c>
      <c r="C54" s="42" t="str">
        <f>'X2'!C151</f>
        <v>PT WINTERMAR OFFSHORE MARINE</v>
      </c>
      <c r="D54" s="43">
        <v>187</v>
      </c>
      <c r="E54" s="44">
        <f>61955985*A9</f>
        <v>840680760465</v>
      </c>
      <c r="F54" s="260">
        <f t="shared" si="5"/>
        <v>2.2243877675583533E-10</v>
      </c>
      <c r="G54" s="268"/>
      <c r="H54" s="270" t="s">
        <v>337</v>
      </c>
      <c r="I54" s="264">
        <v>294</v>
      </c>
      <c r="J54" s="44">
        <v>638</v>
      </c>
      <c r="K54" s="287">
        <f t="shared" si="1"/>
        <v>0.46081504702194359</v>
      </c>
      <c r="M54" s="270" t="s">
        <v>337</v>
      </c>
      <c r="N54" s="291">
        <v>0</v>
      </c>
      <c r="O54" s="47">
        <f t="shared" si="6"/>
        <v>840680760465</v>
      </c>
      <c r="P54" s="295">
        <f t="shared" si="3"/>
        <v>0</v>
      </c>
      <c r="R54" s="270" t="s">
        <v>337</v>
      </c>
      <c r="S54" s="291">
        <f>281740281*A9</f>
        <v>3822933872889</v>
      </c>
      <c r="T54" s="44">
        <f>338519722*A9</f>
        <v>4593374107818</v>
      </c>
      <c r="U54" s="299">
        <f t="shared" si="4"/>
        <v>0.8322713942202753</v>
      </c>
    </row>
    <row r="55" spans="2:21" ht="15.95" customHeight="1" x14ac:dyDescent="0.2">
      <c r="B55" s="228" t="str">
        <f>'X2'!B154</f>
        <v>ADRO</v>
      </c>
      <c r="C55" s="42" t="str">
        <f>'X2'!C154</f>
        <v>PT ADARO ENERGY</v>
      </c>
      <c r="D55" s="43">
        <v>8842</v>
      </c>
      <c r="E55" s="44">
        <f>3258333*A9</f>
        <v>44212320477</v>
      </c>
      <c r="F55" s="260">
        <f t="shared" si="5"/>
        <v>1.9998950303003794E-7</v>
      </c>
      <c r="G55" s="268"/>
      <c r="H55" s="270" t="s">
        <v>340</v>
      </c>
      <c r="I55" s="264">
        <v>1860</v>
      </c>
      <c r="J55" s="44">
        <v>1721</v>
      </c>
      <c r="K55" s="287">
        <f t="shared" si="1"/>
        <v>1.0807669959325974</v>
      </c>
      <c r="M55" s="270" t="s">
        <v>340</v>
      </c>
      <c r="N55" s="291">
        <v>0</v>
      </c>
      <c r="O55" s="47">
        <f t="shared" si="6"/>
        <v>44212320477</v>
      </c>
      <c r="P55" s="295">
        <f t="shared" si="3"/>
        <v>0</v>
      </c>
      <c r="R55" s="270" t="s">
        <v>340</v>
      </c>
      <c r="S55" s="291">
        <f>1506553*A9</f>
        <v>20442417657</v>
      </c>
      <c r="T55" s="44">
        <f>6814147*A9</f>
        <v>92461160643</v>
      </c>
      <c r="U55" s="299">
        <f t="shared" si="4"/>
        <v>0.22109194298273871</v>
      </c>
    </row>
    <row r="56" spans="2:21" ht="15.95" customHeight="1" x14ac:dyDescent="0.2">
      <c r="B56" s="228" t="str">
        <f>'X2'!B157</f>
        <v>ANTM</v>
      </c>
      <c r="C56" s="42" t="str">
        <f>'X2'!C157</f>
        <v>PT ANEKA TAMBANG</v>
      </c>
      <c r="D56" s="43">
        <v>3151</v>
      </c>
      <c r="E56" s="44">
        <v>12653619205000</v>
      </c>
      <c r="F56" s="260">
        <f t="shared" si="5"/>
        <v>2.4901966377768833E-10</v>
      </c>
      <c r="G56" s="268"/>
      <c r="H56" s="270" t="s">
        <v>345</v>
      </c>
      <c r="I56" s="264">
        <v>625</v>
      </c>
      <c r="J56" s="44">
        <v>769</v>
      </c>
      <c r="K56" s="287">
        <f t="shared" si="1"/>
        <v>0.81274382314694404</v>
      </c>
      <c r="M56" s="270" t="s">
        <v>345</v>
      </c>
      <c r="N56" s="291">
        <v>0</v>
      </c>
      <c r="O56" s="47">
        <f t="shared" si="6"/>
        <v>12653619205000</v>
      </c>
      <c r="P56" s="295">
        <f t="shared" si="3"/>
        <v>0</v>
      </c>
      <c r="R56" s="270" t="s">
        <v>345</v>
      </c>
      <c r="S56" s="291">
        <v>14092994799000</v>
      </c>
      <c r="T56" s="44">
        <v>30014273452000</v>
      </c>
      <c r="U56" s="299">
        <f t="shared" si="4"/>
        <v>0.46954309327320776</v>
      </c>
    </row>
    <row r="57" spans="2:21" ht="15.95" customHeight="1" x14ac:dyDescent="0.2">
      <c r="B57" s="228" t="str">
        <f>'X2'!B160</f>
        <v xml:space="preserve">BYAN </v>
      </c>
      <c r="C57" s="42" t="str">
        <f>'X2'!C160</f>
        <v>PT BAYAN RESOURCES</v>
      </c>
      <c r="D57" s="43">
        <v>256</v>
      </c>
      <c r="E57" s="44">
        <f>1067376037*A9</f>
        <v>14483225446053</v>
      </c>
      <c r="F57" s="260">
        <f t="shared" si="5"/>
        <v>1.7675620734728373E-11</v>
      </c>
      <c r="G57" s="268"/>
      <c r="H57" s="270" t="s">
        <v>349</v>
      </c>
      <c r="I57" s="264">
        <v>10600</v>
      </c>
      <c r="J57" s="44">
        <v>2081</v>
      </c>
      <c r="K57" s="287">
        <f t="shared" si="1"/>
        <v>5.093704949543489</v>
      </c>
      <c r="M57" s="270" t="s">
        <v>349</v>
      </c>
      <c r="N57" s="291">
        <v>0</v>
      </c>
      <c r="O57" s="47">
        <f t="shared" si="6"/>
        <v>14483225446053</v>
      </c>
      <c r="P57" s="295">
        <f t="shared" si="3"/>
        <v>0</v>
      </c>
      <c r="R57" s="270" t="s">
        <v>349</v>
      </c>
      <c r="S57" s="291">
        <f>259468439*A9</f>
        <v>3520727248791</v>
      </c>
      <c r="T57" s="44">
        <f>888813140*A9</f>
        <v>12060305496660</v>
      </c>
      <c r="U57" s="299">
        <f t="shared" si="4"/>
        <v>0.29192687115314248</v>
      </c>
    </row>
    <row r="58" spans="2:21" ht="15.95" customHeight="1" x14ac:dyDescent="0.2">
      <c r="B58" s="228" t="str">
        <f>'X2'!B163</f>
        <v>DSSA</v>
      </c>
      <c r="C58" s="42" t="str">
        <f>'X2'!C163</f>
        <v>PT DIAN SWASTATIKA SENTOSA</v>
      </c>
      <c r="D58" s="43">
        <v>2212</v>
      </c>
      <c r="E58" s="44">
        <f>1321743514*A9</f>
        <v>17934737741466</v>
      </c>
      <c r="F58" s="260">
        <f t="shared" si="5"/>
        <v>1.2333606612410878E-10</v>
      </c>
      <c r="G58" s="268"/>
      <c r="H58" s="270" t="s">
        <v>354</v>
      </c>
      <c r="I58" s="264">
        <v>13900</v>
      </c>
      <c r="J58" s="44">
        <v>25400</v>
      </c>
      <c r="K58" s="287">
        <f t="shared" si="1"/>
        <v>0.547244094488189</v>
      </c>
      <c r="M58" s="270" t="s">
        <v>354</v>
      </c>
      <c r="N58" s="291">
        <v>0</v>
      </c>
      <c r="O58" s="47">
        <f t="shared" si="6"/>
        <v>17934737741466</v>
      </c>
      <c r="P58" s="295">
        <f t="shared" si="3"/>
        <v>0</v>
      </c>
      <c r="R58" s="270" t="s">
        <v>354</v>
      </c>
      <c r="S58" s="291">
        <f>438078851*A9</f>
        <v>5944291929219</v>
      </c>
      <c r="T58" s="44">
        <f>2736992648*A9</f>
        <v>37138253240712</v>
      </c>
      <c r="U58" s="299">
        <f t="shared" si="4"/>
        <v>0.16005846830466167</v>
      </c>
    </row>
    <row r="59" spans="2:21" ht="15.95" customHeight="1" x14ac:dyDescent="0.25">
      <c r="B59" s="228" t="str">
        <f>'X2'!B166</f>
        <v>GEMS</v>
      </c>
      <c r="C59" s="42" t="str">
        <f>'X2'!C166</f>
        <v>PT GOLDEN ENERGY MINES</v>
      </c>
      <c r="D59" s="43">
        <v>365</v>
      </c>
      <c r="E59" s="44">
        <f>759448383*A9</f>
        <v>10304955108927</v>
      </c>
      <c r="F59" s="260">
        <f t="shared" si="5"/>
        <v>3.5419853472608239E-11</v>
      </c>
      <c r="G59" s="268"/>
      <c r="H59" s="270" t="s">
        <v>362</v>
      </c>
      <c r="I59" s="265">
        <v>2750</v>
      </c>
      <c r="J59" s="44">
        <v>668</v>
      </c>
      <c r="K59" s="287">
        <f t="shared" si="1"/>
        <v>4.1167664670658679</v>
      </c>
      <c r="M59" s="270" t="s">
        <v>362</v>
      </c>
      <c r="N59" s="291">
        <v>0</v>
      </c>
      <c r="O59" s="47">
        <f t="shared" si="6"/>
        <v>10304955108927</v>
      </c>
      <c r="P59" s="295">
        <f t="shared" si="3"/>
        <v>0</v>
      </c>
      <c r="R59" s="270" t="s">
        <v>362</v>
      </c>
      <c r="S59" s="291">
        <f>55355314*A9</f>
        <v>751116255666</v>
      </c>
      <c r="T59" s="44">
        <f>590469384*A9</f>
        <v>8012079071496</v>
      </c>
      <c r="U59" s="299">
        <f t="shared" si="4"/>
        <v>9.3747983384012343E-2</v>
      </c>
    </row>
    <row r="60" spans="2:21" ht="15.95" customHeight="1" x14ac:dyDescent="0.2">
      <c r="B60" s="228" t="str">
        <f>'X2'!B169</f>
        <v>INCO</v>
      </c>
      <c r="C60" s="42" t="str">
        <f>'X2'!C169</f>
        <v>PT VALE INDONESIA</v>
      </c>
      <c r="D60" s="43">
        <v>3165</v>
      </c>
      <c r="E60" s="44">
        <f>629334000*A9</f>
        <v>8539433046000</v>
      </c>
      <c r="F60" s="260">
        <f t="shared" si="5"/>
        <v>3.7063350493538142E-10</v>
      </c>
      <c r="G60" s="268"/>
      <c r="H60" s="270" t="s">
        <v>366</v>
      </c>
      <c r="I60" s="264">
        <v>2890</v>
      </c>
      <c r="J60" s="44">
        <v>2464</v>
      </c>
      <c r="K60" s="287">
        <f t="shared" si="1"/>
        <v>1.1728896103896105</v>
      </c>
      <c r="M60" s="270" t="s">
        <v>366</v>
      </c>
      <c r="N60" s="291">
        <v>0</v>
      </c>
      <c r="O60" s="47">
        <f t="shared" si="6"/>
        <v>8539433046000</v>
      </c>
      <c r="P60" s="295">
        <f t="shared" si="3"/>
        <v>0</v>
      </c>
      <c r="R60" s="270" t="s">
        <v>366</v>
      </c>
      <c r="S60" s="291">
        <f>1493789000*A9</f>
        <v>20269222941000</v>
      </c>
      <c r="T60" s="44">
        <f>2184559000*A9</f>
        <v>29642281071000</v>
      </c>
      <c r="U60" s="299">
        <f t="shared" si="4"/>
        <v>0.68379430356424342</v>
      </c>
    </row>
    <row r="61" spans="2:21" ht="15.95" customHeight="1" x14ac:dyDescent="0.2">
      <c r="B61" s="228" t="str">
        <f>'X2'!B172</f>
        <v>INDY</v>
      </c>
      <c r="C61" s="42" t="str">
        <f>'X2'!C172</f>
        <v>PT INDIKA ENERGY</v>
      </c>
      <c r="D61" s="43">
        <v>7150</v>
      </c>
      <c r="E61" s="44">
        <f>1098760230*A9</f>
        <v>14909077560870</v>
      </c>
      <c r="F61" s="260">
        <f t="shared" si="5"/>
        <v>4.7957360009754831E-10</v>
      </c>
      <c r="G61" s="268"/>
      <c r="H61" s="270" t="s">
        <v>368</v>
      </c>
      <c r="I61" s="264">
        <v>3060</v>
      </c>
      <c r="J61" s="44">
        <v>2880</v>
      </c>
      <c r="K61" s="287">
        <f t="shared" si="1"/>
        <v>1.0625</v>
      </c>
      <c r="M61" s="270" t="s">
        <v>368</v>
      </c>
      <c r="N61" s="291">
        <v>0</v>
      </c>
      <c r="O61" s="47">
        <f t="shared" si="6"/>
        <v>14909077560870</v>
      </c>
      <c r="P61" s="295">
        <f t="shared" si="3"/>
        <v>0</v>
      </c>
      <c r="R61" s="270" t="s">
        <v>368</v>
      </c>
      <c r="S61" s="291">
        <f>610613683*A9</f>
        <v>8285417064627</v>
      </c>
      <c r="T61" s="44">
        <f>3635705403*A9</f>
        <v>49332886613307</v>
      </c>
      <c r="U61" s="299">
        <f t="shared" si="4"/>
        <v>0.16794916400436419</v>
      </c>
    </row>
    <row r="62" spans="2:21" ht="15.95" customHeight="1" x14ac:dyDescent="0.2">
      <c r="B62" s="228" t="str">
        <f>'X2'!B175</f>
        <v>ITMG</v>
      </c>
      <c r="C62" s="42" t="str">
        <f>'X2'!C175</f>
        <v>PT INDO TAMBANGRAYA MEGAH</v>
      </c>
      <c r="D62" s="43">
        <v>2768</v>
      </c>
      <c r="E62" s="44">
        <f>1689525000*A9</f>
        <v>22925164725000</v>
      </c>
      <c r="F62" s="260">
        <f t="shared" si="5"/>
        <v>1.2074068095927279E-10</v>
      </c>
      <c r="G62" s="268"/>
      <c r="H62" s="270" t="s">
        <v>372</v>
      </c>
      <c r="I62" s="264">
        <v>20700</v>
      </c>
      <c r="J62" s="44">
        <v>11411</v>
      </c>
      <c r="K62" s="287">
        <f t="shared" si="1"/>
        <v>1.814039085093331</v>
      </c>
      <c r="M62" s="270" t="s">
        <v>372</v>
      </c>
      <c r="N62" s="291">
        <v>0</v>
      </c>
      <c r="O62" s="47">
        <f t="shared" si="6"/>
        <v>22925164725000</v>
      </c>
      <c r="P62" s="295">
        <f t="shared" si="3"/>
        <v>0</v>
      </c>
      <c r="R62" s="270" t="s">
        <v>372</v>
      </c>
      <c r="S62" s="291">
        <f>222537000*A9</f>
        <v>3019604553000</v>
      </c>
      <c r="T62" s="44">
        <f>1358663000*A9</f>
        <v>18435698247000</v>
      </c>
      <c r="U62" s="299">
        <f t="shared" si="4"/>
        <v>0.16379116822935488</v>
      </c>
    </row>
    <row r="63" spans="2:21" ht="15.95" customHeight="1" x14ac:dyDescent="0.2">
      <c r="B63" s="228" t="str">
        <f>'X2'!B178</f>
        <v>MEDC</v>
      </c>
      <c r="C63" s="42" t="str">
        <f>'X2'!C178</f>
        <v>PT MEDCO ENERGI INTERNATIONAL</v>
      </c>
      <c r="D63" s="43">
        <v>2412</v>
      </c>
      <c r="E63" s="44">
        <f>925642880*A9</f>
        <v>12560048238720</v>
      </c>
      <c r="F63" s="260">
        <f t="shared" si="5"/>
        <v>1.9203747900938063E-10</v>
      </c>
      <c r="G63" s="268"/>
      <c r="H63" s="270" t="s">
        <v>377</v>
      </c>
      <c r="I63" s="264">
        <v>890</v>
      </c>
      <c r="J63" s="44">
        <v>750</v>
      </c>
      <c r="K63" s="287">
        <f t="shared" si="1"/>
        <v>1.1866666666666668</v>
      </c>
      <c r="M63" s="270" t="s">
        <v>377</v>
      </c>
      <c r="N63" s="292">
        <f>1408331*A9</f>
        <v>19109643339</v>
      </c>
      <c r="O63" s="53">
        <f t="shared" si="6"/>
        <v>12560048238720</v>
      </c>
      <c r="P63" s="295">
        <f t="shared" si="3"/>
        <v>1.5214625752860542E-3</v>
      </c>
      <c r="R63" s="270" t="s">
        <v>377</v>
      </c>
      <c r="S63" s="291">
        <f>67924100*A9</f>
        <v>921662112900</v>
      </c>
      <c r="T63" s="44">
        <f>5160785857*A9</f>
        <v>70026703293633</v>
      </c>
      <c r="U63" s="299">
        <f t="shared" si="4"/>
        <v>1.3161580790621052E-2</v>
      </c>
    </row>
    <row r="64" spans="2:21" ht="15.95" customHeight="1" x14ac:dyDescent="0.2">
      <c r="B64" s="228" t="str">
        <f>'X2'!B181</f>
        <v>MYOH</v>
      </c>
      <c r="C64" s="42" t="str">
        <f>'X2'!C181</f>
        <v>PT SAMINDO RESOURCES</v>
      </c>
      <c r="D64" s="43">
        <v>712</v>
      </c>
      <c r="E64" s="44">
        <f>188070083*A9</f>
        <v>2551922956227</v>
      </c>
      <c r="F64" s="260">
        <f t="shared" si="5"/>
        <v>2.7900528825238792E-10</v>
      </c>
      <c r="G64" s="268"/>
      <c r="H64" s="270" t="s">
        <v>381</v>
      </c>
      <c r="I64" s="264">
        <v>700</v>
      </c>
      <c r="J64" s="44">
        <v>625</v>
      </c>
      <c r="K64" s="287">
        <f t="shared" si="1"/>
        <v>1.1200000000000001</v>
      </c>
      <c r="M64" s="270" t="s">
        <v>381</v>
      </c>
      <c r="N64" s="291">
        <v>0</v>
      </c>
      <c r="O64" s="44">
        <f t="shared" si="6"/>
        <v>2551922956227</v>
      </c>
      <c r="P64" s="295">
        <f t="shared" si="3"/>
        <v>0</v>
      </c>
      <c r="R64" s="270" t="s">
        <v>381</v>
      </c>
      <c r="S64" s="291">
        <f>44258697*A9</f>
        <v>600546259593</v>
      </c>
      <c r="T64" s="44">
        <f>136067975*A9</f>
        <v>1846306352775</v>
      </c>
      <c r="U64" s="299">
        <f t="shared" si="4"/>
        <v>0.32526902086989978</v>
      </c>
    </row>
    <row r="65" spans="2:21" ht="15.95" customHeight="1" x14ac:dyDescent="0.2">
      <c r="B65" s="228" t="str">
        <f>'X2'!B184</f>
        <v>PTBA</v>
      </c>
      <c r="C65" s="42" t="str">
        <f>'X2'!C184</f>
        <v>PT BUKIT ASAM</v>
      </c>
      <c r="D65" s="43">
        <v>2356</v>
      </c>
      <c r="E65" s="44">
        <v>19471030000000</v>
      </c>
      <c r="F65" s="260">
        <f t="shared" si="5"/>
        <v>1.2100027579434677E-10</v>
      </c>
      <c r="G65" s="268"/>
      <c r="H65" s="270" t="s">
        <v>384</v>
      </c>
      <c r="I65" s="264">
        <v>2460</v>
      </c>
      <c r="J65" s="44">
        <v>1197</v>
      </c>
      <c r="K65" s="287">
        <f t="shared" si="1"/>
        <v>2.0551378446115289</v>
      </c>
      <c r="M65" s="270" t="s">
        <v>384</v>
      </c>
      <c r="N65" s="291">
        <v>0</v>
      </c>
      <c r="O65" s="44">
        <f t="shared" si="6"/>
        <v>19471030000000</v>
      </c>
      <c r="P65" s="295">
        <f t="shared" si="3"/>
        <v>0</v>
      </c>
      <c r="R65" s="270" t="s">
        <v>384</v>
      </c>
      <c r="S65" s="291">
        <f>6199299000000</f>
        <v>6199299000000</v>
      </c>
      <c r="T65" s="44">
        <f>21987482000000</f>
        <v>21987482000000</v>
      </c>
      <c r="U65" s="299">
        <f t="shared" si="4"/>
        <v>0.281946745880224</v>
      </c>
    </row>
    <row r="66" spans="2:21" ht="15.95" customHeight="1" x14ac:dyDescent="0.2">
      <c r="B66" s="228" t="str">
        <f>'X2'!B187</f>
        <v>PTRO</v>
      </c>
      <c r="C66" s="42" t="str">
        <f>'X2'!C187</f>
        <v>PT PETROSEA</v>
      </c>
      <c r="D66" s="43">
        <v>3779</v>
      </c>
      <c r="E66" s="44">
        <f>259868000*A9</f>
        <v>3526148892000</v>
      </c>
      <c r="F66" s="260">
        <f t="shared" si="5"/>
        <v>1.0717074394032706E-9</v>
      </c>
      <c r="G66" s="268"/>
      <c r="H66" s="270" t="s">
        <v>387</v>
      </c>
      <c r="I66" s="264">
        <v>1660</v>
      </c>
      <c r="J66" s="44">
        <v>2382</v>
      </c>
      <c r="K66" s="287">
        <f t="shared" si="1"/>
        <v>0.69689336691855586</v>
      </c>
      <c r="M66" s="270" t="s">
        <v>387</v>
      </c>
      <c r="N66" s="291">
        <v>0</v>
      </c>
      <c r="O66" s="44">
        <f t="shared" si="6"/>
        <v>3526148892000</v>
      </c>
      <c r="P66" s="295">
        <f t="shared" si="3"/>
        <v>0</v>
      </c>
      <c r="R66" s="270" t="s">
        <v>387</v>
      </c>
      <c r="S66" s="291">
        <f>263685000*A9</f>
        <v>3577941765000</v>
      </c>
      <c r="T66" s="44">
        <f>436844000*A9</f>
        <v>5927536236000</v>
      </c>
      <c r="U66" s="299">
        <f t="shared" si="4"/>
        <v>0.60361364697695286</v>
      </c>
    </row>
    <row r="67" spans="2:21" ht="15.95" customHeight="1" x14ac:dyDescent="0.2">
      <c r="B67" s="228" t="str">
        <f>'X2'!B190</f>
        <v>TINS</v>
      </c>
      <c r="C67" s="42" t="str">
        <f>'X2'!C190</f>
        <v>PT TIMAH</v>
      </c>
      <c r="D67" s="43">
        <v>4637</v>
      </c>
      <c r="E67" s="44">
        <v>9217160000000</v>
      </c>
      <c r="F67" s="260">
        <f t="shared" si="5"/>
        <v>5.0308337926215887E-10</v>
      </c>
      <c r="G67" s="268"/>
      <c r="H67" s="270" t="s">
        <v>391</v>
      </c>
      <c r="I67" s="264">
        <v>775</v>
      </c>
      <c r="J67" s="44">
        <v>813</v>
      </c>
      <c r="K67" s="287">
        <f t="shared" si="1"/>
        <v>0.95325953259532592</v>
      </c>
      <c r="M67" s="270" t="s">
        <v>391</v>
      </c>
      <c r="N67" s="291">
        <v>0</v>
      </c>
      <c r="O67" s="44">
        <f t="shared" si="6"/>
        <v>9217160000000</v>
      </c>
      <c r="P67" s="295">
        <f t="shared" si="3"/>
        <v>0</v>
      </c>
      <c r="R67" s="270" t="s">
        <v>391</v>
      </c>
      <c r="S67" s="291">
        <f>2462393000000</f>
        <v>2462393000000</v>
      </c>
      <c r="T67" s="44">
        <v>11876309000000</v>
      </c>
      <c r="U67" s="299">
        <f t="shared" si="4"/>
        <v>0.20733655549043056</v>
      </c>
    </row>
    <row r="68" spans="2:21" ht="15.95" customHeight="1" x14ac:dyDescent="0.2">
      <c r="B68" s="228" t="str">
        <f>'X2'!B193</f>
        <v>TOBA</v>
      </c>
      <c r="C68" s="42" t="str">
        <f>'X2'!C193</f>
        <v>PT TOBA SEJAHTERA</v>
      </c>
      <c r="D68" s="43">
        <v>752</v>
      </c>
      <c r="E68" s="44">
        <f>310709476*A9</f>
        <v>4216016879844</v>
      </c>
      <c r="F68" s="260">
        <f t="shared" si="5"/>
        <v>1.7836740730217981E-10</v>
      </c>
      <c r="G68" s="268"/>
      <c r="H68" s="270" t="s">
        <v>397</v>
      </c>
      <c r="I68" s="264">
        <v>518</v>
      </c>
      <c r="J68" s="44">
        <v>292</v>
      </c>
      <c r="K68" s="287">
        <f t="shared" si="1"/>
        <v>1.773972602739726</v>
      </c>
      <c r="M68" s="270" t="s">
        <v>397</v>
      </c>
      <c r="N68" s="291">
        <v>0</v>
      </c>
      <c r="O68" s="44">
        <f t="shared" si="6"/>
        <v>4216016879844</v>
      </c>
      <c r="P68" s="295">
        <f t="shared" si="3"/>
        <v>0</v>
      </c>
      <c r="R68" s="270" t="s">
        <v>397</v>
      </c>
      <c r="S68" s="291">
        <f>46554610*A9</f>
        <v>631699503090</v>
      </c>
      <c r="T68" s="44">
        <f>348338028*A9</f>
        <v>4726598701932</v>
      </c>
      <c r="U68" s="299">
        <f t="shared" si="4"/>
        <v>0.13364779684634376</v>
      </c>
    </row>
    <row r="69" spans="2:21" ht="15.95" customHeight="1" x14ac:dyDescent="0.2">
      <c r="B69" s="229" t="str">
        <f>'X2'!B196</f>
        <v>AMFG</v>
      </c>
      <c r="C69" s="42" t="str">
        <f>'X2'!C196</f>
        <v>PT ASAHIMAS FLAT GLASS</v>
      </c>
      <c r="D69" s="43">
        <v>2710</v>
      </c>
      <c r="E69" s="44">
        <v>3885791000000</v>
      </c>
      <c r="F69" s="260">
        <f t="shared" si="5"/>
        <v>6.9741270181540906E-10</v>
      </c>
      <c r="G69" s="268"/>
      <c r="H69" s="270" t="s">
        <v>402</v>
      </c>
      <c r="I69" s="264">
        <v>6025</v>
      </c>
      <c r="J69" s="44">
        <v>8177</v>
      </c>
      <c r="K69" s="287">
        <f t="shared" si="1"/>
        <v>0.73682279564632502</v>
      </c>
      <c r="M69" s="270" t="s">
        <v>402</v>
      </c>
      <c r="N69" s="291">
        <v>0</v>
      </c>
      <c r="O69" s="44">
        <f t="shared" si="6"/>
        <v>3885791000000</v>
      </c>
      <c r="P69" s="295">
        <f t="shared" si="3"/>
        <v>0</v>
      </c>
      <c r="R69" s="270" t="s">
        <v>402</v>
      </c>
      <c r="S69" s="291">
        <v>4068690000000</v>
      </c>
      <c r="T69" s="44">
        <v>6267816000000</v>
      </c>
      <c r="U69" s="299">
        <f t="shared" si="4"/>
        <v>0.64913998751718305</v>
      </c>
    </row>
    <row r="70" spans="2:21" ht="15.95" customHeight="1" x14ac:dyDescent="0.2">
      <c r="B70" s="229" t="str">
        <f>'X2'!B199</f>
        <v>BRPT</v>
      </c>
      <c r="C70" s="42" t="str">
        <f>'X2'!C199</f>
        <v>PT BARITO PACIFIC</v>
      </c>
      <c r="D70" s="43">
        <v>3103</v>
      </c>
      <c r="E70" s="44">
        <f>2452847000*A9</f>
        <v>33282680943000</v>
      </c>
      <c r="F70" s="260">
        <f t="shared" si="5"/>
        <v>9.323167221156869E-11</v>
      </c>
      <c r="G70" s="268"/>
      <c r="H70" s="270" t="s">
        <v>412</v>
      </c>
      <c r="I70" s="264">
        <v>457</v>
      </c>
      <c r="J70" s="44">
        <v>290</v>
      </c>
      <c r="K70" s="287">
        <f t="shared" si="1"/>
        <v>1.5758620689655172</v>
      </c>
      <c r="M70" s="270" t="s">
        <v>412</v>
      </c>
      <c r="N70" s="291">
        <v>0</v>
      </c>
      <c r="O70" s="44">
        <f t="shared" si="6"/>
        <v>33282680943000</v>
      </c>
      <c r="P70" s="295">
        <f t="shared" si="3"/>
        <v>0</v>
      </c>
      <c r="R70" s="270" t="s">
        <v>412</v>
      </c>
      <c r="S70" s="291">
        <f>1705253000*A9</f>
        <v>23138577957000</v>
      </c>
      <c r="T70" s="44">
        <f>3642928000*A9</f>
        <v>49430890032000</v>
      </c>
      <c r="U70" s="299">
        <f t="shared" si="4"/>
        <v>0.46809956167127104</v>
      </c>
    </row>
    <row r="71" spans="2:21" ht="15.95" customHeight="1" x14ac:dyDescent="0.2">
      <c r="B71" s="229" t="str">
        <f>'X2'!B202</f>
        <v>CPIN</v>
      </c>
      <c r="C71" s="42" t="str">
        <f>'X2'!C202</f>
        <v>PT CHAROEN POKPHAND INDONESIA</v>
      </c>
      <c r="D71" s="43">
        <v>6354</v>
      </c>
      <c r="E71" s="44">
        <v>49367386000000</v>
      </c>
      <c r="F71" s="260">
        <f t="shared" si="5"/>
        <v>1.2870845541629447E-10</v>
      </c>
      <c r="G71" s="268"/>
      <c r="H71" s="270" t="s">
        <v>419</v>
      </c>
      <c r="I71" s="264">
        <v>3000</v>
      </c>
      <c r="J71" s="44">
        <v>957</v>
      </c>
      <c r="K71" s="287">
        <f t="shared" si="1"/>
        <v>3.134796238244514</v>
      </c>
      <c r="M71" s="270" t="s">
        <v>419</v>
      </c>
      <c r="N71" s="291">
        <v>281560000000</v>
      </c>
      <c r="O71" s="44">
        <f t="shared" si="6"/>
        <v>49367386000000</v>
      </c>
      <c r="P71" s="295">
        <f t="shared" si="3"/>
        <v>5.7033605141661742E-3</v>
      </c>
      <c r="R71" s="270" t="s">
        <v>419</v>
      </c>
      <c r="S71" s="291">
        <f>11009361000000</f>
        <v>11009361000000</v>
      </c>
      <c r="T71" s="44">
        <v>24522593000000</v>
      </c>
      <c r="U71" s="299">
        <f t="shared" si="4"/>
        <v>0.44894767041968198</v>
      </c>
    </row>
    <row r="72" spans="2:21" ht="15.95" customHeight="1" x14ac:dyDescent="0.2">
      <c r="B72" s="229" t="str">
        <f>'X2'!B205</f>
        <v>CPRO</v>
      </c>
      <c r="C72" s="41" t="str">
        <f>'X2'!C205</f>
        <v>PT CENTRAL PROTEINA PRIMA</v>
      </c>
      <c r="D72" s="43">
        <v>2083</v>
      </c>
      <c r="E72" s="44">
        <v>6575570000000</v>
      </c>
      <c r="F72" s="260">
        <f t="shared" ref="F72:F103" si="7">D72/E72</f>
        <v>3.1677862147311946E-10</v>
      </c>
      <c r="G72" s="268"/>
      <c r="H72" s="270" t="s">
        <v>423</v>
      </c>
      <c r="I72" s="264">
        <v>50</v>
      </c>
      <c r="J72" s="44">
        <v>-29</v>
      </c>
      <c r="K72" s="287">
        <f t="shared" ref="K72:K135" si="8">I72/J72</f>
        <v>-1.7241379310344827</v>
      </c>
      <c r="M72" s="270" t="s">
        <v>423</v>
      </c>
      <c r="N72" s="291">
        <v>47920000000</v>
      </c>
      <c r="O72" s="44">
        <f t="shared" ref="O72:O103" si="9">E72</f>
        <v>6575570000000</v>
      </c>
      <c r="P72" s="295">
        <f t="shared" ref="P72:P135" si="10">N72/O72</f>
        <v>7.2875811526605296E-3</v>
      </c>
      <c r="R72" s="270" t="s">
        <v>423</v>
      </c>
      <c r="S72" s="291">
        <v>4287247000000</v>
      </c>
      <c r="T72" s="44">
        <v>7006675000000</v>
      </c>
      <c r="U72" s="299">
        <f t="shared" ref="U72:U135" si="11">S72/T72</f>
        <v>0.61188038548955104</v>
      </c>
    </row>
    <row r="73" spans="2:21" ht="15.95" customHeight="1" x14ac:dyDescent="0.2">
      <c r="B73" s="229" t="str">
        <f>'X2'!B208</f>
        <v>CTBN</v>
      </c>
      <c r="C73" s="41" t="str">
        <f>'X2'!C208</f>
        <v xml:space="preserve">PT CITRA TUBINDO </v>
      </c>
      <c r="D73" s="43">
        <v>826</v>
      </c>
      <c r="E73" s="44">
        <f>49681160*A9</f>
        <v>674123660040</v>
      </c>
      <c r="F73" s="260">
        <f t="shared" si="7"/>
        <v>1.2252944807648322E-9</v>
      </c>
      <c r="G73" s="268"/>
      <c r="H73" s="270" t="s">
        <v>427</v>
      </c>
      <c r="I73" s="264">
        <v>4850</v>
      </c>
      <c r="J73" s="44">
        <v>1770</v>
      </c>
      <c r="K73" s="287">
        <f t="shared" si="8"/>
        <v>2.7401129943502824</v>
      </c>
      <c r="M73" s="270" t="s">
        <v>427</v>
      </c>
      <c r="N73" s="291">
        <v>0</v>
      </c>
      <c r="O73" s="44">
        <f t="shared" si="9"/>
        <v>674123660040</v>
      </c>
      <c r="P73" s="295">
        <f t="shared" si="10"/>
        <v>0</v>
      </c>
      <c r="R73" s="270" t="s">
        <v>427</v>
      </c>
      <c r="S73" s="291">
        <f>48747503*A9</f>
        <v>661454868207</v>
      </c>
      <c r="T73" s="44">
        <f>149450952*A9</f>
        <v>2027899967688</v>
      </c>
      <c r="U73" s="299">
        <f t="shared" si="11"/>
        <v>0.32617726650546863</v>
      </c>
    </row>
    <row r="74" spans="2:21" ht="15.95" customHeight="1" x14ac:dyDescent="0.2">
      <c r="B74" s="229" t="str">
        <f>'X2'!B211</f>
        <v>EKAD</v>
      </c>
      <c r="C74" s="41" t="str">
        <f>'X2'!C211</f>
        <v xml:space="preserve">EKADHARMA INTERNATIONAL </v>
      </c>
      <c r="D74" s="43">
        <v>482</v>
      </c>
      <c r="E74" s="44">
        <v>643591823505</v>
      </c>
      <c r="F74" s="260">
        <f t="shared" si="7"/>
        <v>7.4892188246741363E-10</v>
      </c>
      <c r="G74" s="268"/>
      <c r="H74" s="270" t="s">
        <v>433</v>
      </c>
      <c r="I74" s="264">
        <v>695</v>
      </c>
      <c r="J74" s="44">
        <v>948</v>
      </c>
      <c r="K74" s="287">
        <f t="shared" si="8"/>
        <v>0.7331223628691983</v>
      </c>
      <c r="M74" s="270" t="s">
        <v>433</v>
      </c>
      <c r="N74" s="291">
        <v>1202382671</v>
      </c>
      <c r="O74" s="44">
        <f t="shared" si="9"/>
        <v>643591823505</v>
      </c>
      <c r="P74" s="295">
        <f t="shared" si="10"/>
        <v>1.868237953135927E-3</v>
      </c>
      <c r="R74" s="270" t="s">
        <v>433</v>
      </c>
      <c r="S74" s="291">
        <v>364850961596</v>
      </c>
      <c r="T74" s="44">
        <v>796767646172</v>
      </c>
      <c r="U74" s="299">
        <f t="shared" si="11"/>
        <v>0.45791387658484167</v>
      </c>
    </row>
    <row r="75" spans="2:21" ht="15.95" customHeight="1" x14ac:dyDescent="0.2">
      <c r="B75" s="229" t="str">
        <f>'X2'!B214</f>
        <v>FASW</v>
      </c>
      <c r="C75" s="41" t="str">
        <f>'X2'!C214</f>
        <v>PT FAJAR SURYA WISESA</v>
      </c>
      <c r="D75" s="43">
        <v>2802</v>
      </c>
      <c r="E75" s="44">
        <v>7337185138762</v>
      </c>
      <c r="F75" s="260">
        <f t="shared" si="7"/>
        <v>3.818903226520982E-10</v>
      </c>
      <c r="G75" s="268"/>
      <c r="H75" s="270" t="s">
        <v>444</v>
      </c>
      <c r="I75" s="264">
        <v>5400</v>
      </c>
      <c r="J75" s="44">
        <v>1327</v>
      </c>
      <c r="K75" s="287">
        <f t="shared" si="8"/>
        <v>4.069329314242653</v>
      </c>
      <c r="M75" s="270" t="s">
        <v>444</v>
      </c>
      <c r="N75" s="291">
        <v>0</v>
      </c>
      <c r="O75" s="44">
        <f t="shared" si="9"/>
        <v>7337185138762</v>
      </c>
      <c r="P75" s="295">
        <f t="shared" si="10"/>
        <v>0</v>
      </c>
      <c r="R75" s="270" t="s">
        <v>444</v>
      </c>
      <c r="S75" s="291">
        <v>6434772710208</v>
      </c>
      <c r="T75" s="44">
        <v>9369891776775</v>
      </c>
      <c r="U75" s="299">
        <f t="shared" si="11"/>
        <v>0.68674995010697648</v>
      </c>
    </row>
    <row r="76" spans="2:21" ht="15.95" customHeight="1" x14ac:dyDescent="0.2">
      <c r="B76" s="229" t="str">
        <f>'X2'!B217</f>
        <v>INKP</v>
      </c>
      <c r="C76" s="41" t="str">
        <f>'X2'!C217</f>
        <v>PT INDAH KIAT PULP &amp; PAPER</v>
      </c>
      <c r="D76" s="43">
        <v>13000</v>
      </c>
      <c r="E76" s="44">
        <f>3127928000*A9</f>
        <v>42442855032000</v>
      </c>
      <c r="F76" s="260">
        <f t="shared" si="7"/>
        <v>3.0629419227803094E-10</v>
      </c>
      <c r="G76" s="268"/>
      <c r="H76" s="270" t="s">
        <v>451</v>
      </c>
      <c r="I76" s="264">
        <v>5400</v>
      </c>
      <c r="J76" s="44">
        <v>7645</v>
      </c>
      <c r="K76" s="287">
        <f t="shared" si="8"/>
        <v>0.70634401569653371</v>
      </c>
      <c r="M76" s="270" t="s">
        <v>451</v>
      </c>
      <c r="N76" s="291">
        <v>0</v>
      </c>
      <c r="O76" s="44">
        <f t="shared" si="9"/>
        <v>42442855032000</v>
      </c>
      <c r="P76" s="295">
        <f t="shared" si="10"/>
        <v>0</v>
      </c>
      <c r="R76" s="270" t="s">
        <v>451</v>
      </c>
      <c r="S76" s="291">
        <f>3835657000*A9</f>
        <v>52046029833000</v>
      </c>
      <c r="T76" s="44">
        <f>7634236000*A9</f>
        <v>103588948284000</v>
      </c>
      <c r="U76" s="299">
        <f t="shared" si="11"/>
        <v>0.50242840278974865</v>
      </c>
    </row>
    <row r="77" spans="2:21" ht="15.95" customHeight="1" x14ac:dyDescent="0.2">
      <c r="B77" s="229" t="str">
        <f>'X2'!B220</f>
        <v>INTP</v>
      </c>
      <c r="C77" s="41" t="str">
        <f>'X2'!C220</f>
        <v>PT INDOCEMENT TUNGGAL PRAKARSA</v>
      </c>
      <c r="D77" s="43">
        <v>6102</v>
      </c>
      <c r="E77" s="44">
        <v>14431211000000</v>
      </c>
      <c r="F77" s="260">
        <f t="shared" si="7"/>
        <v>4.2283353767053922E-10</v>
      </c>
      <c r="G77" s="268"/>
      <c r="H77" s="270" t="s">
        <v>455</v>
      </c>
      <c r="I77" s="264">
        <v>21950</v>
      </c>
      <c r="J77" s="44">
        <v>6670</v>
      </c>
      <c r="K77" s="287">
        <f t="shared" si="8"/>
        <v>3.2908545727136431</v>
      </c>
      <c r="M77" s="270" t="s">
        <v>455</v>
      </c>
      <c r="N77" s="291">
        <v>108347000000</v>
      </c>
      <c r="O77" s="44">
        <f t="shared" si="9"/>
        <v>14431211000000</v>
      </c>
      <c r="P77" s="295">
        <f t="shared" si="10"/>
        <v>7.5078245339216506E-3</v>
      </c>
      <c r="R77" s="270" t="s">
        <v>455</v>
      </c>
      <c r="S77" s="291">
        <v>14979453000000</v>
      </c>
      <c r="T77" s="44">
        <v>28863676000000</v>
      </c>
      <c r="U77" s="299">
        <f t="shared" si="11"/>
        <v>0.51897246213545356</v>
      </c>
    </row>
    <row r="78" spans="2:21" ht="15.95" customHeight="1" x14ac:dyDescent="0.2">
      <c r="B78" s="229" t="str">
        <f>'X2'!B223</f>
        <v>IPOL</v>
      </c>
      <c r="C78" s="41" t="str">
        <f>'X2'!C223</f>
        <v>PT INDOPOLY SWAKARSA INDUSTRY</v>
      </c>
      <c r="D78" s="43">
        <v>1247</v>
      </c>
      <c r="E78" s="44">
        <f>198934982*A9</f>
        <v>2699348770758</v>
      </c>
      <c r="F78" s="260">
        <f t="shared" si="7"/>
        <v>4.6196327555324831E-10</v>
      </c>
      <c r="G78" s="268"/>
      <c r="H78" s="270" t="s">
        <v>459</v>
      </c>
      <c r="I78" s="264">
        <v>127</v>
      </c>
      <c r="J78" s="44">
        <v>333</v>
      </c>
      <c r="K78" s="287">
        <f t="shared" si="8"/>
        <v>0.38138138138138139</v>
      </c>
      <c r="M78" s="270" t="s">
        <v>459</v>
      </c>
      <c r="N78" s="291">
        <f>1522821*A9</f>
        <v>20663158149</v>
      </c>
      <c r="O78" s="44">
        <f t="shared" si="9"/>
        <v>2699348770758</v>
      </c>
      <c r="P78" s="295">
        <f t="shared" si="10"/>
        <v>7.6548678602941737E-3</v>
      </c>
      <c r="R78" s="270" t="s">
        <v>459</v>
      </c>
      <c r="S78" s="291">
        <f>186860062*A9</f>
        <v>2535504181278</v>
      </c>
      <c r="T78" s="44">
        <f>287793458*A9</f>
        <v>3905069431602</v>
      </c>
      <c r="U78" s="299">
        <f t="shared" si="11"/>
        <v>0.64928530098832193</v>
      </c>
    </row>
    <row r="79" spans="2:21" ht="15.95" customHeight="1" x14ac:dyDescent="0.2">
      <c r="B79" s="229" t="str">
        <f>'X2'!B226</f>
        <v>JAPFA</v>
      </c>
      <c r="C79" s="41" t="str">
        <f>'X2'!C226</f>
        <v>PT JAPFA COMFEED INDONESIA</v>
      </c>
      <c r="D79" s="43">
        <v>21474</v>
      </c>
      <c r="E79" s="44">
        <v>29602688000000</v>
      </c>
      <c r="F79" s="260">
        <f t="shared" si="7"/>
        <v>7.254070981662206E-10</v>
      </c>
      <c r="G79" s="268"/>
      <c r="H79" s="270" t="s">
        <v>465</v>
      </c>
      <c r="I79" s="264">
        <v>1300</v>
      </c>
      <c r="J79" s="44">
        <v>835</v>
      </c>
      <c r="K79" s="287">
        <f t="shared" si="8"/>
        <v>1.5568862275449102</v>
      </c>
      <c r="M79" s="270" t="s">
        <v>465</v>
      </c>
      <c r="N79" s="291">
        <v>20219000000</v>
      </c>
      <c r="O79" s="44">
        <f t="shared" si="9"/>
        <v>29602688000000</v>
      </c>
      <c r="P79" s="295">
        <f t="shared" si="10"/>
        <v>6.8301229942361989E-4</v>
      </c>
      <c r="R79" s="270" t="s">
        <v>465</v>
      </c>
      <c r="S79" s="291">
        <v>8346028000000</v>
      </c>
      <c r="T79" s="44">
        <v>21088870000000</v>
      </c>
      <c r="U79" s="299">
        <f t="shared" si="11"/>
        <v>0.39575510684071741</v>
      </c>
    </row>
    <row r="80" spans="2:21" ht="15.95" customHeight="1" x14ac:dyDescent="0.2">
      <c r="B80" s="229" t="str">
        <f>'X2'!B229</f>
        <v>LION</v>
      </c>
      <c r="C80" s="41" t="str">
        <f>'X2'!C229</f>
        <v>PT LION METAL WORKS</v>
      </c>
      <c r="D80" s="43">
        <v>712</v>
      </c>
      <c r="E80" s="44">
        <v>349690769141</v>
      </c>
      <c r="F80" s="260">
        <f t="shared" si="7"/>
        <v>2.036084629139616E-9</v>
      </c>
      <c r="G80" s="268"/>
      <c r="H80" s="270" t="s">
        <v>471</v>
      </c>
      <c r="I80" s="264">
        <v>765</v>
      </c>
      <c r="J80" s="44">
        <v>869</v>
      </c>
      <c r="K80" s="287">
        <f t="shared" si="8"/>
        <v>0.88032220943613348</v>
      </c>
      <c r="M80" s="270" t="s">
        <v>471</v>
      </c>
      <c r="N80" s="291">
        <v>255108338</v>
      </c>
      <c r="O80" s="44">
        <f t="shared" si="9"/>
        <v>349690769141</v>
      </c>
      <c r="P80" s="295">
        <f t="shared" si="10"/>
        <v>7.2952551371791258E-4</v>
      </c>
      <c r="R80" s="270" t="s">
        <v>471</v>
      </c>
      <c r="S80" s="291">
        <v>97577993791</v>
      </c>
      <c r="T80" s="44">
        <v>681937947736</v>
      </c>
      <c r="U80" s="299">
        <f t="shared" si="11"/>
        <v>0.14308925630983593</v>
      </c>
    </row>
    <row r="81" spans="2:21" ht="15.95" customHeight="1" x14ac:dyDescent="0.2">
      <c r="B81" s="229" t="str">
        <f>'X2'!B232</f>
        <v>MAIN</v>
      </c>
      <c r="C81" s="229" t="str">
        <f>'X2'!C232</f>
        <v>PT MALINDO FEEDMILL</v>
      </c>
      <c r="D81" s="43">
        <v>3578</v>
      </c>
      <c r="E81" s="44">
        <v>5441395835000</v>
      </c>
      <c r="F81" s="260">
        <f t="shared" si="7"/>
        <v>6.5755186876604063E-10</v>
      </c>
      <c r="G81" s="268"/>
      <c r="H81" s="270" t="s">
        <v>475</v>
      </c>
      <c r="I81" s="264">
        <v>740</v>
      </c>
      <c r="J81" s="44">
        <v>759</v>
      </c>
      <c r="K81" s="287">
        <f t="shared" si="8"/>
        <v>0.97496706192358362</v>
      </c>
      <c r="M81" s="270" t="s">
        <v>475</v>
      </c>
      <c r="N81" s="291">
        <v>23631928000</v>
      </c>
      <c r="O81" s="44">
        <f t="shared" si="9"/>
        <v>5441395835000</v>
      </c>
      <c r="P81" s="295">
        <f t="shared" si="10"/>
        <v>4.342990055602158E-3</v>
      </c>
      <c r="R81" s="270" t="s">
        <v>475</v>
      </c>
      <c r="S81" s="291">
        <v>2038990401</v>
      </c>
      <c r="T81" s="44">
        <v>4072245477</v>
      </c>
      <c r="U81" s="299">
        <f t="shared" si="11"/>
        <v>0.50070419686538947</v>
      </c>
    </row>
    <row r="82" spans="2:21" ht="15.95" customHeight="1" x14ac:dyDescent="0.2">
      <c r="B82" s="229" t="str">
        <f>'X2'!B235</f>
        <v>MARK</v>
      </c>
      <c r="C82" s="229" t="str">
        <f>'X2'!C235</f>
        <v>PT MARK DYNAMICS INDONESIA</v>
      </c>
      <c r="D82" s="43">
        <v>959</v>
      </c>
      <c r="E82" s="44">
        <v>239786317679</v>
      </c>
      <c r="F82" s="260">
        <f t="shared" si="7"/>
        <v>3.9993941659498916E-9</v>
      </c>
      <c r="G82" s="268"/>
      <c r="H82" s="270" t="s">
        <v>479</v>
      </c>
      <c r="I82" s="264">
        <v>320</v>
      </c>
      <c r="J82" s="44">
        <v>43</v>
      </c>
      <c r="K82" s="287">
        <f t="shared" si="8"/>
        <v>7.441860465116279</v>
      </c>
      <c r="M82" s="270" t="s">
        <v>479</v>
      </c>
      <c r="N82" s="291">
        <v>0</v>
      </c>
      <c r="O82" s="44">
        <f t="shared" si="9"/>
        <v>239786317679</v>
      </c>
      <c r="P82" s="295">
        <f t="shared" si="10"/>
        <v>0</v>
      </c>
      <c r="R82" s="270" t="s">
        <v>479</v>
      </c>
      <c r="S82" s="291">
        <v>89201366653</v>
      </c>
      <c r="T82" s="44">
        <v>227599575294</v>
      </c>
      <c r="U82" s="299">
        <f t="shared" si="11"/>
        <v>0.39192237743754493</v>
      </c>
    </row>
    <row r="83" spans="2:21" ht="15.95" customHeight="1" x14ac:dyDescent="0.2">
      <c r="B83" s="229" t="str">
        <f>'X2'!B238</f>
        <v>SMCB</v>
      </c>
      <c r="C83" s="229" t="str">
        <f>'X2'!C238</f>
        <v>PT SOLUSI BANGUN INDONESIA</v>
      </c>
      <c r="D83" s="43">
        <v>2530</v>
      </c>
      <c r="E83" s="44">
        <v>9382120000000</v>
      </c>
      <c r="F83" s="260">
        <f t="shared" si="7"/>
        <v>2.6966186746705435E-10</v>
      </c>
      <c r="G83" s="268"/>
      <c r="H83" s="270" t="s">
        <v>487</v>
      </c>
      <c r="I83" s="264">
        <v>835</v>
      </c>
      <c r="J83" s="44">
        <v>939</v>
      </c>
      <c r="K83" s="287">
        <f t="shared" si="8"/>
        <v>0.88924387646432379</v>
      </c>
      <c r="M83" s="270" t="s">
        <v>487</v>
      </c>
      <c r="N83" s="291">
        <v>85996000000</v>
      </c>
      <c r="O83" s="44">
        <f t="shared" si="9"/>
        <v>9382120000000</v>
      </c>
      <c r="P83" s="295">
        <f t="shared" si="10"/>
        <v>9.165945436639053E-3</v>
      </c>
      <c r="R83" s="270" t="s">
        <v>487</v>
      </c>
      <c r="S83" s="291">
        <v>15999771000000</v>
      </c>
      <c r="T83" s="44">
        <v>19626403000000</v>
      </c>
      <c r="U83" s="299">
        <f t="shared" si="11"/>
        <v>0.81521667521042951</v>
      </c>
    </row>
    <row r="84" spans="2:21" ht="15.95" customHeight="1" x14ac:dyDescent="0.2">
      <c r="B84" s="229" t="str">
        <f>'X2'!B241</f>
        <v>SGMR</v>
      </c>
      <c r="C84" s="229" t="str">
        <f>'X2'!C241</f>
        <v>PT SEMEN INDONESIA</v>
      </c>
      <c r="D84" s="43">
        <v>9972</v>
      </c>
      <c r="E84" s="44">
        <v>27813664176000</v>
      </c>
      <c r="F84" s="260">
        <f t="shared" si="7"/>
        <v>3.5852881292083376E-10</v>
      </c>
      <c r="G84" s="268"/>
      <c r="H84" s="270" t="s">
        <v>491</v>
      </c>
      <c r="I84" s="264">
        <v>9900</v>
      </c>
      <c r="J84" s="44">
        <v>5131</v>
      </c>
      <c r="K84" s="287">
        <f t="shared" si="8"/>
        <v>1.929448450594426</v>
      </c>
      <c r="M84" s="270" t="s">
        <v>491</v>
      </c>
      <c r="N84" s="291">
        <v>253105574000</v>
      </c>
      <c r="O84" s="44">
        <f t="shared" si="9"/>
        <v>27813664176000</v>
      </c>
      <c r="P84" s="295">
        <f t="shared" si="10"/>
        <v>9.1000442228104939E-3</v>
      </c>
      <c r="R84" s="270" t="s">
        <v>491</v>
      </c>
      <c r="S84" s="291">
        <v>32523309598000</v>
      </c>
      <c r="T84" s="44">
        <v>48963502966000</v>
      </c>
      <c r="U84" s="299">
        <f t="shared" si="11"/>
        <v>0.66423575985942052</v>
      </c>
    </row>
    <row r="85" spans="2:21" ht="15.95" customHeight="1" x14ac:dyDescent="0.2">
      <c r="B85" s="229" t="str">
        <f>'X2'!B244</f>
        <v>TRST</v>
      </c>
      <c r="C85" s="229" t="str">
        <f>'X2'!C244</f>
        <v>PT TRIAS SENTOSA</v>
      </c>
      <c r="D85" s="43">
        <v>1065</v>
      </c>
      <c r="E85" s="44">
        <v>2354938016436</v>
      </c>
      <c r="F85" s="260">
        <f t="shared" si="7"/>
        <v>4.5224120234458978E-10</v>
      </c>
      <c r="G85" s="268"/>
      <c r="H85" s="270" t="s">
        <v>502</v>
      </c>
      <c r="I85" s="264">
        <v>374</v>
      </c>
      <c r="J85" s="44">
        <v>703</v>
      </c>
      <c r="K85" s="287">
        <f t="shared" si="8"/>
        <v>0.53200568990042674</v>
      </c>
      <c r="M85" s="270" t="s">
        <v>502</v>
      </c>
      <c r="N85" s="291">
        <v>4367067286</v>
      </c>
      <c r="O85" s="44">
        <f t="shared" si="9"/>
        <v>2354938016436</v>
      </c>
      <c r="P85" s="295">
        <f t="shared" si="10"/>
        <v>1.8544298217280418E-3</v>
      </c>
      <c r="R85" s="270" t="s">
        <v>502</v>
      </c>
      <c r="S85" s="291">
        <v>1992196958293</v>
      </c>
      <c r="T85" s="44">
        <v>3332905936010</v>
      </c>
      <c r="U85" s="299">
        <f t="shared" si="11"/>
        <v>0.59773572868304992</v>
      </c>
    </row>
    <row r="86" spans="2:21" ht="15.95" customHeight="1" x14ac:dyDescent="0.2">
      <c r="B86" s="229" t="str">
        <f>'X2'!B247</f>
        <v>UNIC</v>
      </c>
      <c r="C86" s="229" t="str">
        <f>'X2'!C247</f>
        <v>PT UNGGUL INDAH CAHAYA</v>
      </c>
      <c r="D86" s="43">
        <v>637</v>
      </c>
      <c r="E86" s="44">
        <f>320549223*A9</f>
        <v>4349532406887</v>
      </c>
      <c r="F86" s="260">
        <f t="shared" si="7"/>
        <v>1.4645252418199747E-10</v>
      </c>
      <c r="G86" s="268"/>
      <c r="H86" s="270" t="s">
        <v>506</v>
      </c>
      <c r="I86" s="264">
        <v>3420</v>
      </c>
      <c r="J86" s="44">
        <v>5561</v>
      </c>
      <c r="K86" s="287">
        <f t="shared" si="8"/>
        <v>0.61499730264340946</v>
      </c>
      <c r="M86" s="270" t="s">
        <v>506</v>
      </c>
      <c r="N86" s="291">
        <v>0</v>
      </c>
      <c r="O86" s="44">
        <f t="shared" si="9"/>
        <v>4349532406887</v>
      </c>
      <c r="P86" s="295">
        <f t="shared" si="10"/>
        <v>0</v>
      </c>
      <c r="R86" s="270" t="s">
        <v>506</v>
      </c>
      <c r="S86" s="291">
        <f>33724102*A9</f>
        <v>457602340038</v>
      </c>
      <c r="T86" s="44">
        <f>223746950*A9</f>
        <v>3036022364550</v>
      </c>
      <c r="U86" s="299">
        <f t="shared" si="11"/>
        <v>0.15072429814127075</v>
      </c>
    </row>
    <row r="87" spans="2:21" ht="15.95" customHeight="1" x14ac:dyDescent="0.2">
      <c r="B87" s="230" t="str">
        <f>'X2'!B250</f>
        <v>ASII</v>
      </c>
      <c r="C87" s="230" t="str">
        <f>'X2'!C250</f>
        <v>PT ASTRA INTERNATIONAL</v>
      </c>
      <c r="D87" s="43">
        <v>218463</v>
      </c>
      <c r="E87" s="44">
        <v>206057000000000</v>
      </c>
      <c r="F87" s="260">
        <f t="shared" si="7"/>
        <v>1.0602066418515265E-9</v>
      </c>
      <c r="G87" s="268"/>
      <c r="H87" s="270" t="s">
        <v>514</v>
      </c>
      <c r="I87" s="264">
        <v>8300</v>
      </c>
      <c r="J87" s="44">
        <v>7900</v>
      </c>
      <c r="K87" s="287">
        <f t="shared" si="8"/>
        <v>1.0506329113924051</v>
      </c>
      <c r="M87" s="270" t="s">
        <v>514</v>
      </c>
      <c r="N87" s="291">
        <v>49000000000</v>
      </c>
      <c r="O87" s="44">
        <f t="shared" si="9"/>
        <v>206057000000000</v>
      </c>
      <c r="P87" s="295">
        <f t="shared" si="10"/>
        <v>2.3779827911694337E-4</v>
      </c>
      <c r="R87" s="270" t="s">
        <v>514</v>
      </c>
      <c r="S87" s="291">
        <v>48402000000000</v>
      </c>
      <c r="T87" s="44">
        <v>295646000000000</v>
      </c>
      <c r="U87" s="299">
        <f t="shared" si="11"/>
        <v>0.16371606583549245</v>
      </c>
    </row>
    <row r="88" spans="2:21" ht="15.95" customHeight="1" x14ac:dyDescent="0.2">
      <c r="B88" s="230" t="str">
        <f>'X2'!B253</f>
        <v>AUTO</v>
      </c>
      <c r="C88" s="230" t="str">
        <f>'X2'!C253</f>
        <v>PT ASTRA OTOPARTS</v>
      </c>
      <c r="D88" s="43">
        <v>10919</v>
      </c>
      <c r="E88" s="44">
        <v>13549857000000</v>
      </c>
      <c r="F88" s="260">
        <f t="shared" si="7"/>
        <v>8.058387627264258E-10</v>
      </c>
      <c r="G88" s="268"/>
      <c r="H88" s="270" t="s">
        <v>518</v>
      </c>
      <c r="I88" s="264">
        <v>2060</v>
      </c>
      <c r="J88" s="44">
        <v>2232</v>
      </c>
      <c r="K88" s="287">
        <f t="shared" si="8"/>
        <v>0.92293906810035842</v>
      </c>
      <c r="M88" s="270" t="s">
        <v>518</v>
      </c>
      <c r="N88" s="291">
        <v>86426000000</v>
      </c>
      <c r="O88" s="44">
        <f t="shared" si="9"/>
        <v>13549857000000</v>
      </c>
      <c r="P88" s="295">
        <f t="shared" si="10"/>
        <v>6.3783698971878449E-3</v>
      </c>
      <c r="R88" s="270" t="s">
        <v>518</v>
      </c>
      <c r="S88" s="291">
        <v>3526867000000</v>
      </c>
      <c r="T88" s="44">
        <v>14762309000000</v>
      </c>
      <c r="U88" s="299">
        <f t="shared" si="11"/>
        <v>0.23891025448661182</v>
      </c>
    </row>
    <row r="89" spans="2:21" ht="15.95" customHeight="1" x14ac:dyDescent="0.2">
      <c r="B89" s="230" t="str">
        <f>'X2'!B256</f>
        <v>BATA</v>
      </c>
      <c r="C89" s="230" t="str">
        <f>'X2'!C256</f>
        <v>PT SEPATU BATA</v>
      </c>
      <c r="D89" s="43">
        <v>737</v>
      </c>
      <c r="E89" s="44">
        <v>974536083000</v>
      </c>
      <c r="F89" s="260">
        <f t="shared" si="7"/>
        <v>7.5625727241543302E-10</v>
      </c>
      <c r="G89" s="268"/>
      <c r="H89" s="270" t="s">
        <v>522</v>
      </c>
      <c r="I89" s="264">
        <v>570</v>
      </c>
      <c r="J89" s="44">
        <v>445</v>
      </c>
      <c r="K89" s="287">
        <f t="shared" si="8"/>
        <v>1.2808988764044944</v>
      </c>
      <c r="M89" s="270" t="s">
        <v>522</v>
      </c>
      <c r="N89" s="291">
        <v>12292907000</v>
      </c>
      <c r="O89" s="44">
        <f t="shared" si="9"/>
        <v>974536083000</v>
      </c>
      <c r="P89" s="295">
        <f t="shared" si="10"/>
        <v>1.2614111693183966E-2</v>
      </c>
      <c r="R89" s="270" t="s">
        <v>522</v>
      </c>
      <c r="S89" s="291">
        <v>218946522000</v>
      </c>
      <c r="T89" s="44">
        <v>855691231000</v>
      </c>
      <c r="U89" s="299">
        <f t="shared" si="11"/>
        <v>0.25587094277468408</v>
      </c>
    </row>
    <row r="90" spans="2:21" ht="15.95" customHeight="1" x14ac:dyDescent="0.2">
      <c r="B90" s="230" t="str">
        <f>'X2'!B259</f>
        <v>BRAM</v>
      </c>
      <c r="C90" s="230" t="str">
        <f>'X2'!C259</f>
        <v>PT INDO KORDSA</v>
      </c>
      <c r="D90" s="43">
        <v>1592</v>
      </c>
      <c r="E90" s="44">
        <f>241782757*A9</f>
        <v>3280750229733</v>
      </c>
      <c r="F90" s="260">
        <f t="shared" si="7"/>
        <v>4.8525486200440286E-10</v>
      </c>
      <c r="G90" s="268"/>
      <c r="H90" s="270" t="s">
        <v>526</v>
      </c>
      <c r="I90" s="264">
        <v>7375</v>
      </c>
      <c r="J90" s="44">
        <v>6491</v>
      </c>
      <c r="K90" s="287">
        <f t="shared" si="8"/>
        <v>1.1361885687875519</v>
      </c>
      <c r="M90" s="270" t="s">
        <v>526</v>
      </c>
      <c r="N90" s="291">
        <v>0</v>
      </c>
      <c r="O90" s="44">
        <f t="shared" si="9"/>
        <v>3280750229733</v>
      </c>
      <c r="P90" s="295">
        <f t="shared" si="10"/>
        <v>0</v>
      </c>
      <c r="R90" s="270" t="s">
        <v>526</v>
      </c>
      <c r="S90" s="291">
        <f>170094795*A9</f>
        <v>2308016273355</v>
      </c>
      <c r="T90" s="44">
        <f>304483626*A9</f>
        <v>4131538321194</v>
      </c>
      <c r="U90" s="299">
        <f t="shared" si="11"/>
        <v>0.55863363568850821</v>
      </c>
    </row>
    <row r="91" spans="2:21" ht="15.95" customHeight="1" x14ac:dyDescent="0.2">
      <c r="B91" s="230" t="str">
        <f>'X2'!B262</f>
        <v>GDYR</v>
      </c>
      <c r="C91" s="230" t="str">
        <f>'X2'!C262</f>
        <v>PT GOODYEAR INDONESIA</v>
      </c>
      <c r="D91" s="43">
        <v>934</v>
      </c>
      <c r="E91" s="44">
        <f>161261509*A9</f>
        <v>2188157415621</v>
      </c>
      <c r="F91" s="260">
        <f t="shared" si="7"/>
        <v>4.2684314818133431E-10</v>
      </c>
      <c r="G91" s="268"/>
      <c r="H91" s="270" t="s">
        <v>531</v>
      </c>
      <c r="I91" s="264">
        <v>1700</v>
      </c>
      <c r="J91" s="44">
        <v>1758</v>
      </c>
      <c r="K91" s="287">
        <f t="shared" si="8"/>
        <v>0.9670079635949943</v>
      </c>
      <c r="M91" s="270" t="s">
        <v>531</v>
      </c>
      <c r="N91" s="291">
        <f>978558*A9</f>
        <v>13278053502</v>
      </c>
      <c r="O91" s="44">
        <f t="shared" si="9"/>
        <v>2188157415621</v>
      </c>
      <c r="P91" s="295">
        <f t="shared" si="10"/>
        <v>6.0681436386658145E-3</v>
      </c>
      <c r="R91" s="270" t="s">
        <v>531</v>
      </c>
      <c r="S91" s="291">
        <f>59021052*A9</f>
        <v>800856654588</v>
      </c>
      <c r="T91" s="44">
        <f>123765600*A9</f>
        <v>1679375426400</v>
      </c>
      <c r="U91" s="299">
        <f t="shared" si="11"/>
        <v>0.47687767845023171</v>
      </c>
    </row>
    <row r="92" spans="2:21" ht="15.95" customHeight="1" x14ac:dyDescent="0.2">
      <c r="B92" s="230" t="str">
        <f>'X2'!B265</f>
        <v>GJTL</v>
      </c>
      <c r="C92" s="230" t="str">
        <f>'X2'!C265</f>
        <v>PT GAJAH TUNGGAL</v>
      </c>
      <c r="D92" s="43">
        <v>17544</v>
      </c>
      <c r="E92" s="44">
        <v>14146918000000</v>
      </c>
      <c r="F92" s="260">
        <f t="shared" si="7"/>
        <v>1.2401287686830445E-9</v>
      </c>
      <c r="G92" s="268"/>
      <c r="H92" s="270" t="s">
        <v>536</v>
      </c>
      <c r="I92" s="264">
        <v>680</v>
      </c>
      <c r="J92" s="44">
        <v>1632</v>
      </c>
      <c r="K92" s="287">
        <f t="shared" si="8"/>
        <v>0.41666666666666669</v>
      </c>
      <c r="M92" s="270" t="s">
        <v>536</v>
      </c>
      <c r="N92" s="291">
        <v>57190000000</v>
      </c>
      <c r="O92" s="44">
        <f t="shared" si="9"/>
        <v>14146918000000</v>
      </c>
      <c r="P92" s="295">
        <f t="shared" si="10"/>
        <v>4.0425766234030618E-3</v>
      </c>
      <c r="R92" s="270" t="s">
        <v>536</v>
      </c>
      <c r="S92" s="291">
        <v>8900168000000</v>
      </c>
      <c r="T92" s="44">
        <v>18191176000000</v>
      </c>
      <c r="U92" s="299">
        <f t="shared" si="11"/>
        <v>0.48925742898644925</v>
      </c>
    </row>
    <row r="93" spans="2:21" ht="15.95" customHeight="1" x14ac:dyDescent="0.2">
      <c r="B93" s="230" t="str">
        <f>'X2'!B268</f>
        <v>GMFI</v>
      </c>
      <c r="C93" s="230" t="str">
        <f>'X2'!C268</f>
        <v>PT GARUDA MAINTENANCE FACILITY AERO ASIA</v>
      </c>
      <c r="D93" s="43">
        <v>4653</v>
      </c>
      <c r="E93" s="44">
        <f>439281242*A9</f>
        <v>5960607172698</v>
      </c>
      <c r="F93" s="260">
        <f t="shared" si="7"/>
        <v>7.8062517209867955E-10</v>
      </c>
      <c r="G93" s="268"/>
      <c r="H93" s="270" t="s">
        <v>540</v>
      </c>
      <c r="I93" s="264">
        <v>318</v>
      </c>
      <c r="J93" s="44">
        <v>145</v>
      </c>
      <c r="K93" s="287">
        <f t="shared" si="8"/>
        <v>2.193103448275862</v>
      </c>
      <c r="M93" s="270" t="s">
        <v>540</v>
      </c>
      <c r="N93" s="291">
        <v>0</v>
      </c>
      <c r="O93" s="44">
        <f t="shared" si="9"/>
        <v>5960607172698</v>
      </c>
      <c r="P93" s="295">
        <f t="shared" si="10"/>
        <v>0</v>
      </c>
      <c r="R93" s="270" t="s">
        <v>540</v>
      </c>
      <c r="S93" s="291">
        <f>123273326*A9</f>
        <v>1672695760494</v>
      </c>
      <c r="T93" s="44">
        <f>539150882*A9</f>
        <v>7315738317858</v>
      </c>
      <c r="U93" s="299">
        <f t="shared" si="11"/>
        <v>0.22864346533703714</v>
      </c>
    </row>
    <row r="94" spans="2:21" ht="15.95" customHeight="1" x14ac:dyDescent="0.2">
      <c r="B94" s="230" t="str">
        <f>'X2'!B271</f>
        <v>HDTX</v>
      </c>
      <c r="C94" s="230" t="str">
        <f>'X2'!C271</f>
        <v>PT PANASIA INDO RESOURCES</v>
      </c>
      <c r="D94" s="43">
        <f>379+3373</f>
        <v>3752</v>
      </c>
      <c r="E94" s="44">
        <f>1293363942000</f>
        <v>1293363942000</v>
      </c>
      <c r="F94" s="260">
        <f t="shared" si="7"/>
        <v>2.9009622722263891E-9</v>
      </c>
      <c r="G94" s="268"/>
      <c r="H94" s="270" t="s">
        <v>542</v>
      </c>
      <c r="I94" s="264">
        <v>496</v>
      </c>
      <c r="J94" s="44">
        <v>92</v>
      </c>
      <c r="K94" s="287">
        <f t="shared" si="8"/>
        <v>5.3913043478260869</v>
      </c>
      <c r="M94" s="270" t="s">
        <v>542</v>
      </c>
      <c r="N94" s="291">
        <v>49391026000</v>
      </c>
      <c r="O94" s="44">
        <f t="shared" si="9"/>
        <v>1293363942000</v>
      </c>
      <c r="P94" s="295">
        <f t="shared" si="10"/>
        <v>3.8188033851959666E-2</v>
      </c>
      <c r="R94" s="270" t="s">
        <v>542</v>
      </c>
      <c r="S94" s="291">
        <f>3638921738000</f>
        <v>3638921738000</v>
      </c>
      <c r="T94" s="44">
        <f>4035086385000</f>
        <v>4035086385000</v>
      </c>
      <c r="U94" s="299">
        <f t="shared" si="11"/>
        <v>0.90182003327792448</v>
      </c>
    </row>
    <row r="95" spans="2:21" ht="15.95" customHeight="1" x14ac:dyDescent="0.2">
      <c r="B95" s="230" t="str">
        <f>'X2'!B274</f>
        <v>IMAS</v>
      </c>
      <c r="C95" s="230" t="str">
        <f>'X2'!C274</f>
        <v>PT INDOMOBIL SUKSES INTERNATIONAL</v>
      </c>
      <c r="D95" s="43">
        <v>7303</v>
      </c>
      <c r="E95" s="44">
        <v>15359437288255</v>
      </c>
      <c r="F95" s="260">
        <f t="shared" si="7"/>
        <v>4.7547314806802412E-10</v>
      </c>
      <c r="G95" s="268"/>
      <c r="H95" s="270" t="s">
        <v>546</v>
      </c>
      <c r="I95" s="264">
        <v>840</v>
      </c>
      <c r="J95" s="44">
        <v>2323</v>
      </c>
      <c r="K95" s="287">
        <f t="shared" si="8"/>
        <v>0.36160137752905724</v>
      </c>
      <c r="M95" s="270" t="s">
        <v>546</v>
      </c>
      <c r="N95" s="291">
        <v>120262439722</v>
      </c>
      <c r="O95" s="44">
        <f t="shared" si="9"/>
        <v>15359437288255</v>
      </c>
      <c r="P95" s="295">
        <f t="shared" si="10"/>
        <v>7.8298727658442178E-3</v>
      </c>
      <c r="R95" s="270" t="s">
        <v>546</v>
      </c>
      <c r="S95" s="291">
        <v>4638599448700</v>
      </c>
      <c r="T95" s="44">
        <v>31375311299854</v>
      </c>
      <c r="U95" s="299">
        <f t="shared" si="11"/>
        <v>0.14784234025182677</v>
      </c>
    </row>
    <row r="96" spans="2:21" ht="15.95" customHeight="1" x14ac:dyDescent="0.2">
      <c r="B96" s="230" t="str">
        <f>'X2'!B277</f>
        <v>INDR</v>
      </c>
      <c r="C96" s="230" t="str">
        <f>'X2'!C277</f>
        <v>PT INDO-RAMA SYNTHETICS</v>
      </c>
      <c r="D96" s="43">
        <v>7745</v>
      </c>
      <c r="E96" s="44">
        <f>777925055*A9</f>
        <v>10555665071295</v>
      </c>
      <c r="F96" s="260">
        <f t="shared" si="7"/>
        <v>7.3372922953587236E-10</v>
      </c>
      <c r="G96" s="268"/>
      <c r="H96" s="270" t="s">
        <v>549</v>
      </c>
      <c r="I96" s="264">
        <v>1250</v>
      </c>
      <c r="J96" s="44">
        <v>5847</v>
      </c>
      <c r="K96" s="287">
        <f t="shared" si="8"/>
        <v>0.21378484693004959</v>
      </c>
      <c r="M96" s="270" t="s">
        <v>549</v>
      </c>
      <c r="N96" s="291">
        <v>0</v>
      </c>
      <c r="O96" s="44">
        <f t="shared" si="9"/>
        <v>10555665071295</v>
      </c>
      <c r="P96" s="295">
        <f t="shared" si="10"/>
        <v>0</v>
      </c>
      <c r="R96" s="270" t="s">
        <v>549</v>
      </c>
      <c r="S96" s="291">
        <f>476228454*A9</f>
        <v>6461943892326</v>
      </c>
      <c r="T96" s="44">
        <f>800108471*A9</f>
        <v>10856671842999</v>
      </c>
      <c r="U96" s="299">
        <f t="shared" si="11"/>
        <v>0.59520486441643983</v>
      </c>
    </row>
    <row r="97" spans="2:21" ht="15.95" customHeight="1" x14ac:dyDescent="0.2">
      <c r="B97" s="230" t="str">
        <f>'X2'!B280</f>
        <v>KBLI</v>
      </c>
      <c r="C97" s="230" t="str">
        <f>'X2'!C280</f>
        <v>PT KMI Wire and Cable</v>
      </c>
      <c r="D97" s="43">
        <v>1155</v>
      </c>
      <c r="E97" s="44">
        <v>3186704707526</v>
      </c>
      <c r="F97" s="260">
        <f t="shared" si="7"/>
        <v>3.6244337207405856E-10</v>
      </c>
      <c r="G97" s="268"/>
      <c r="H97" s="270" t="s">
        <v>557</v>
      </c>
      <c r="I97" s="264">
        <v>426</v>
      </c>
      <c r="J97" s="44">
        <v>445</v>
      </c>
      <c r="K97" s="287">
        <f t="shared" si="8"/>
        <v>0.95730337078651684</v>
      </c>
      <c r="M97" s="270" t="s">
        <v>557</v>
      </c>
      <c r="N97" s="291">
        <v>2342424797</v>
      </c>
      <c r="O97" s="44">
        <f t="shared" si="9"/>
        <v>3186704707526</v>
      </c>
      <c r="P97" s="295">
        <f t="shared" si="10"/>
        <v>7.3506176818577667E-4</v>
      </c>
      <c r="R97" s="270" t="s">
        <v>557</v>
      </c>
      <c r="S97" s="291">
        <v>1043801546776</v>
      </c>
      <c r="T97" s="44">
        <v>3013760616985</v>
      </c>
      <c r="U97" s="299">
        <f t="shared" si="11"/>
        <v>0.34634520767619253</v>
      </c>
    </row>
    <row r="98" spans="2:21" ht="15.95" customHeight="1" x14ac:dyDescent="0.2">
      <c r="B98" s="230" t="str">
        <f>'X2'!B283</f>
        <v>MASA</v>
      </c>
      <c r="C98" s="230" t="str">
        <f>'X2'!C283</f>
        <v>PT MULTISTRADA ARAH SARANA</v>
      </c>
      <c r="D98" s="43">
        <v>2923</v>
      </c>
      <c r="E98" s="44">
        <f>280974817*A9</f>
        <v>3812547291873</v>
      </c>
      <c r="F98" s="260">
        <f t="shared" si="7"/>
        <v>7.6667901437729062E-10</v>
      </c>
      <c r="G98" s="268"/>
      <c r="H98" s="270" t="s">
        <v>562</v>
      </c>
      <c r="I98" s="264">
        <v>280</v>
      </c>
      <c r="J98" s="44">
        <v>493</v>
      </c>
      <c r="K98" s="287">
        <f t="shared" si="8"/>
        <v>0.56795131845841784</v>
      </c>
      <c r="M98" s="270" t="s">
        <v>562</v>
      </c>
      <c r="N98" s="291">
        <f>4559143*A9</f>
        <v>61863011367</v>
      </c>
      <c r="O98" s="44">
        <f t="shared" si="9"/>
        <v>3812547291873</v>
      </c>
      <c r="P98" s="295">
        <f t="shared" si="10"/>
        <v>1.6226162361020417E-2</v>
      </c>
      <c r="R98" s="270" t="s">
        <v>562</v>
      </c>
      <c r="S98" s="291">
        <f>439790654*A9</f>
        <v>5967519384126</v>
      </c>
      <c r="T98" s="44">
        <f>657608837*A9</f>
        <v>8923094309253</v>
      </c>
      <c r="U98" s="299">
        <f t="shared" si="11"/>
        <v>0.66877242101294943</v>
      </c>
    </row>
    <row r="99" spans="2:21" ht="15.95" customHeight="1" x14ac:dyDescent="0.2">
      <c r="B99" s="230" t="str">
        <f>'X2'!B286</f>
        <v>PBRX</v>
      </c>
      <c r="C99" s="230" t="str">
        <f>'X2'!C286</f>
        <v>PT PAN BROTHERS</v>
      </c>
      <c r="D99" s="43">
        <v>37284</v>
      </c>
      <c r="E99" s="44">
        <f>549355786*A9</f>
        <v>7454208660234</v>
      </c>
      <c r="F99" s="260">
        <f t="shared" si="7"/>
        <v>5.0017381722756331E-9</v>
      </c>
      <c r="G99" s="268"/>
      <c r="H99" s="270" t="s">
        <v>568</v>
      </c>
      <c r="I99" s="264">
        <v>535</v>
      </c>
      <c r="J99" s="44">
        <v>487</v>
      </c>
      <c r="K99" s="287">
        <f t="shared" si="8"/>
        <v>1.0985626283367556</v>
      </c>
      <c r="M99" s="270" t="s">
        <v>568</v>
      </c>
      <c r="N99" s="291">
        <v>0</v>
      </c>
      <c r="O99" s="44">
        <f t="shared" si="9"/>
        <v>7454208660234</v>
      </c>
      <c r="P99" s="295">
        <f t="shared" si="10"/>
        <v>0</v>
      </c>
      <c r="R99" s="270" t="s">
        <v>568</v>
      </c>
      <c r="S99" s="291">
        <f>121327766*A9</f>
        <v>1646296456854</v>
      </c>
      <c r="T99" s="44">
        <f>573351293*A9</f>
        <v>7779803694717</v>
      </c>
      <c r="U99" s="299">
        <f t="shared" si="11"/>
        <v>0.21161156777926723</v>
      </c>
    </row>
    <row r="100" spans="2:21" ht="15.95" customHeight="1" x14ac:dyDescent="0.2">
      <c r="B100" s="230" t="str">
        <f>'X2'!B289</f>
        <v>PTSN</v>
      </c>
      <c r="C100" s="230" t="str">
        <f>'X2'!C289</f>
        <v xml:space="preserve">PT SAT NUSAPERSADA </v>
      </c>
      <c r="D100" s="43">
        <v>421</v>
      </c>
      <c r="E100" s="44">
        <f>85883879*A9</f>
        <v>1165358354151</v>
      </c>
      <c r="F100" s="260">
        <f t="shared" si="7"/>
        <v>3.6126226623802055E-10</v>
      </c>
      <c r="G100" s="268"/>
      <c r="H100" s="270" t="s">
        <v>574</v>
      </c>
      <c r="I100" s="264">
        <v>62</v>
      </c>
      <c r="J100" s="44">
        <v>127</v>
      </c>
      <c r="K100" s="287">
        <f t="shared" si="8"/>
        <v>0.48818897637795278</v>
      </c>
      <c r="M100" s="270" t="s">
        <v>574</v>
      </c>
      <c r="N100" s="291">
        <v>0</v>
      </c>
      <c r="O100" s="44">
        <f t="shared" si="9"/>
        <v>1165358354151</v>
      </c>
      <c r="P100" s="295">
        <f t="shared" si="10"/>
        <v>0</v>
      </c>
      <c r="R100" s="270" t="s">
        <v>574</v>
      </c>
      <c r="S100" s="291">
        <f>40411962*A9</f>
        <v>548349912378</v>
      </c>
      <c r="T100" s="44">
        <f>67203688*A9</f>
        <v>911886842472</v>
      </c>
      <c r="U100" s="299">
        <f t="shared" si="11"/>
        <v>0.60133548027899897</v>
      </c>
    </row>
    <row r="101" spans="2:21" ht="15.95" customHeight="1" x14ac:dyDescent="0.2">
      <c r="B101" s="230" t="str">
        <f>'X2'!B292</f>
        <v>RICY</v>
      </c>
      <c r="C101" s="230" t="str">
        <f>'X2'!C292</f>
        <v>PT RICKY PUTRA GLOBALINDO</v>
      </c>
      <c r="D101" s="43">
        <v>2179</v>
      </c>
      <c r="E101" s="44">
        <v>1600432168098</v>
      </c>
      <c r="F101" s="260">
        <f t="shared" si="7"/>
        <v>1.3615072500008461E-9</v>
      </c>
      <c r="G101" s="268"/>
      <c r="H101" s="270" t="s">
        <v>578</v>
      </c>
      <c r="I101" s="264">
        <v>150</v>
      </c>
      <c r="J101" s="44">
        <v>670</v>
      </c>
      <c r="K101" s="287">
        <f t="shared" si="8"/>
        <v>0.22388059701492538</v>
      </c>
      <c r="M101" s="270" t="s">
        <v>578</v>
      </c>
      <c r="N101" s="291">
        <v>22590272846</v>
      </c>
      <c r="O101" s="44">
        <f t="shared" si="9"/>
        <v>1600432168098</v>
      </c>
      <c r="P101" s="295">
        <f t="shared" si="10"/>
        <v>1.4115107966648117E-2</v>
      </c>
      <c r="R101" s="270" t="s">
        <v>578</v>
      </c>
      <c r="S101" s="291">
        <v>323156365786</v>
      </c>
      <c r="T101" s="44">
        <v>1374444788282</v>
      </c>
      <c r="U101" s="299">
        <f t="shared" si="11"/>
        <v>0.23511774975692715</v>
      </c>
    </row>
    <row r="102" spans="2:21" ht="15.95" customHeight="1" x14ac:dyDescent="0.2">
      <c r="B102" s="230" t="str">
        <f>'X2'!B295</f>
        <v>SMSM</v>
      </c>
      <c r="C102" s="230" t="str">
        <f>'X2'!C295</f>
        <v>PT SELAMAT SEMPURNA</v>
      </c>
      <c r="D102" s="43">
        <v>3011</v>
      </c>
      <c r="E102" s="44">
        <v>3339964000000</v>
      </c>
      <c r="F102" s="260">
        <f t="shared" si="7"/>
        <v>9.015067228269526E-10</v>
      </c>
      <c r="G102" s="268"/>
      <c r="H102" s="270" t="s">
        <v>584</v>
      </c>
      <c r="I102" s="264">
        <v>1255</v>
      </c>
      <c r="J102" s="44">
        <v>317</v>
      </c>
      <c r="K102" s="287">
        <f t="shared" si="8"/>
        <v>3.9589905362776023</v>
      </c>
      <c r="M102" s="270" t="s">
        <v>584</v>
      </c>
      <c r="N102" s="291">
        <v>8754000000</v>
      </c>
      <c r="O102" s="44">
        <f t="shared" si="9"/>
        <v>3339964000000</v>
      </c>
      <c r="P102" s="295">
        <f t="shared" si="10"/>
        <v>2.6209863339844383E-3</v>
      </c>
      <c r="R102" s="270" t="s">
        <v>584</v>
      </c>
      <c r="S102" s="291">
        <f>683803000000</f>
        <v>683803000000</v>
      </c>
      <c r="T102" s="44">
        <f>2443341000000</f>
        <v>2443341000000</v>
      </c>
      <c r="U102" s="299">
        <f t="shared" si="11"/>
        <v>0.27986392402861493</v>
      </c>
    </row>
    <row r="103" spans="2:21" ht="15.95" customHeight="1" x14ac:dyDescent="0.2">
      <c r="B103" s="230" t="str">
        <f>'X2'!B298</f>
        <v>SRIL</v>
      </c>
      <c r="C103" s="230" t="str">
        <f>'X2'!C298</f>
        <v>PT SRI REJEKI ISMAN</v>
      </c>
      <c r="D103" s="43">
        <v>16334</v>
      </c>
      <c r="E103" s="44">
        <f>759349865*A9</f>
        <v>10303618318185</v>
      </c>
      <c r="F103" s="260">
        <f t="shared" si="7"/>
        <v>1.585268349000457E-9</v>
      </c>
      <c r="G103" s="268"/>
      <c r="H103" s="270" t="s">
        <v>588</v>
      </c>
      <c r="I103" s="264">
        <v>380</v>
      </c>
      <c r="J103" s="44">
        <v>290</v>
      </c>
      <c r="K103" s="287">
        <f t="shared" si="8"/>
        <v>1.3103448275862069</v>
      </c>
      <c r="M103" s="270" t="s">
        <v>588</v>
      </c>
      <c r="N103" s="291">
        <v>0</v>
      </c>
      <c r="O103" s="44">
        <f t="shared" si="9"/>
        <v>10303618318185</v>
      </c>
      <c r="P103" s="295">
        <f t="shared" si="10"/>
        <v>0</v>
      </c>
      <c r="R103" s="270" t="s">
        <v>588</v>
      </c>
      <c r="S103" s="291">
        <f>546707929*A9</f>
        <v>7418279888601</v>
      </c>
      <c r="T103" s="44">
        <f>1192901038*A9</f>
        <v>16186474184622</v>
      </c>
      <c r="U103" s="299">
        <f t="shared" si="11"/>
        <v>0.45830115959711321</v>
      </c>
    </row>
    <row r="104" spans="2:21" ht="15.95" customHeight="1" x14ac:dyDescent="0.2">
      <c r="B104" s="230" t="str">
        <f>'X2'!B301</f>
        <v>VOKS</v>
      </c>
      <c r="C104" s="230" t="str">
        <f>'X2'!C301</f>
        <v>PT VOKSEL ELECTRIC</v>
      </c>
      <c r="D104" s="43">
        <v>1274</v>
      </c>
      <c r="E104" s="44">
        <v>2258316807862</v>
      </c>
      <c r="F104" s="260">
        <f t="shared" ref="F104:F135" si="12">D104/E104</f>
        <v>5.6413696942995564E-10</v>
      </c>
      <c r="G104" s="268"/>
      <c r="H104" s="270" t="s">
        <v>595</v>
      </c>
      <c r="I104" s="264">
        <v>312</v>
      </c>
      <c r="J104" s="44">
        <v>195</v>
      </c>
      <c r="K104" s="287">
        <f t="shared" si="8"/>
        <v>1.6</v>
      </c>
      <c r="M104" s="270" t="s">
        <v>595</v>
      </c>
      <c r="N104" s="291">
        <v>0</v>
      </c>
      <c r="O104" s="44">
        <f t="shared" ref="O104:O135" si="13">E104</f>
        <v>2258316807862</v>
      </c>
      <c r="P104" s="295">
        <f t="shared" si="10"/>
        <v>0</v>
      </c>
      <c r="R104" s="270" t="s">
        <v>595</v>
      </c>
      <c r="S104" s="291">
        <v>305671637987</v>
      </c>
      <c r="T104" s="44">
        <v>2110166496595</v>
      </c>
      <c r="U104" s="299">
        <f t="shared" si="11"/>
        <v>0.14485664447816649</v>
      </c>
    </row>
    <row r="105" spans="2:21" ht="15.95" customHeight="1" x14ac:dyDescent="0.2">
      <c r="B105" s="225" t="str">
        <f>'X2'!B304</f>
        <v>ACST</v>
      </c>
      <c r="C105" s="225" t="str">
        <f>'X2'!C304</f>
        <v>PT ACSET INDONUSA</v>
      </c>
      <c r="D105" s="43">
        <v>341</v>
      </c>
      <c r="E105" s="44">
        <v>3026989000000</v>
      </c>
      <c r="F105" s="260">
        <f t="shared" si="12"/>
        <v>1.1265320092012227E-10</v>
      </c>
      <c r="G105" s="268"/>
      <c r="H105" s="270" t="s">
        <v>598</v>
      </c>
      <c r="I105" s="264">
        <v>2460</v>
      </c>
      <c r="J105" s="44">
        <v>223</v>
      </c>
      <c r="K105" s="287">
        <f t="shared" si="8"/>
        <v>11.031390134529149</v>
      </c>
      <c r="M105" s="270" t="s">
        <v>598</v>
      </c>
      <c r="N105" s="291">
        <v>0</v>
      </c>
      <c r="O105" s="44">
        <f t="shared" si="13"/>
        <v>3026989000000</v>
      </c>
      <c r="P105" s="295">
        <f t="shared" si="10"/>
        <v>0</v>
      </c>
      <c r="R105" s="270" t="s">
        <v>598</v>
      </c>
      <c r="S105" s="291">
        <v>486798000000</v>
      </c>
      <c r="T105" s="44">
        <v>5306479000000</v>
      </c>
      <c r="U105" s="299">
        <f t="shared" si="11"/>
        <v>9.1736535657636634E-2</v>
      </c>
    </row>
    <row r="106" spans="2:21" ht="15.95" customHeight="1" x14ac:dyDescent="0.2">
      <c r="B106" s="225" t="str">
        <f>'X2'!B307</f>
        <v>APLN</v>
      </c>
      <c r="C106" s="225" t="str">
        <f>'X2'!C307</f>
        <v>PT AGUNG PODOMORO LAND</v>
      </c>
      <c r="D106" s="43">
        <v>1850</v>
      </c>
      <c r="E106" s="44">
        <v>7043036602000</v>
      </c>
      <c r="F106" s="260">
        <f t="shared" si="12"/>
        <v>2.6267079166884613E-10</v>
      </c>
      <c r="G106" s="268"/>
      <c r="H106" s="270" t="s">
        <v>605</v>
      </c>
      <c r="I106" s="264">
        <v>235</v>
      </c>
      <c r="J106" s="44">
        <v>506</v>
      </c>
      <c r="K106" s="287">
        <f t="shared" si="8"/>
        <v>0.46442687747035571</v>
      </c>
      <c r="M106" s="270" t="s">
        <v>605</v>
      </c>
      <c r="N106" s="291">
        <v>36664742000</v>
      </c>
      <c r="O106" s="44">
        <f t="shared" si="13"/>
        <v>7043036602000</v>
      </c>
      <c r="P106" s="295">
        <f t="shared" si="10"/>
        <v>5.2058144905264827E-3</v>
      </c>
      <c r="R106" s="270" t="s">
        <v>605</v>
      </c>
      <c r="S106" s="291">
        <v>4019617009000</v>
      </c>
      <c r="T106" s="44">
        <f>28790116014000</f>
        <v>28790116014000</v>
      </c>
      <c r="U106" s="299">
        <f t="shared" si="11"/>
        <v>0.139617951072005</v>
      </c>
    </row>
    <row r="107" spans="2:21" ht="15.95" customHeight="1" x14ac:dyDescent="0.2">
      <c r="B107" s="225" t="str">
        <f>'X2'!B310</f>
        <v>ASRI</v>
      </c>
      <c r="C107" s="225" t="str">
        <f>'X2'!C310</f>
        <v>PT ALAM SUTERA REALTY</v>
      </c>
      <c r="D107" s="43">
        <v>1841</v>
      </c>
      <c r="E107" s="44">
        <v>3917107098000</v>
      </c>
      <c r="F107" s="260">
        <f t="shared" si="12"/>
        <v>4.6998970258943892E-10</v>
      </c>
      <c r="G107" s="268"/>
      <c r="H107" s="270" t="s">
        <v>608</v>
      </c>
      <c r="I107" s="264">
        <v>356</v>
      </c>
      <c r="J107" s="44">
        <v>436</v>
      </c>
      <c r="K107" s="287">
        <f t="shared" si="8"/>
        <v>0.8165137614678899</v>
      </c>
      <c r="M107" s="270" t="s">
        <v>608</v>
      </c>
      <c r="N107" s="291">
        <v>72675299000</v>
      </c>
      <c r="O107" s="44">
        <f t="shared" si="13"/>
        <v>3917107098000</v>
      </c>
      <c r="P107" s="295">
        <f t="shared" si="10"/>
        <v>1.8553309159483184E-2</v>
      </c>
      <c r="R107" s="270" t="s">
        <v>608</v>
      </c>
      <c r="S107" s="291">
        <v>1225363874000</v>
      </c>
      <c r="T107" s="44">
        <v>20728430487000</v>
      </c>
      <c r="U107" s="299">
        <f t="shared" si="11"/>
        <v>5.9115130533809429E-2</v>
      </c>
    </row>
    <row r="108" spans="2:21" ht="15.95" customHeight="1" x14ac:dyDescent="0.2">
      <c r="B108" s="225" t="str">
        <f>'X2'!B313</f>
        <v>BSDE</v>
      </c>
      <c r="C108" s="225" t="str">
        <f>'X2'!C313</f>
        <v>PT BUMI SERPONG DAMAI</v>
      </c>
      <c r="D108" s="43">
        <v>4125</v>
      </c>
      <c r="E108" s="44">
        <v>10347343192163</v>
      </c>
      <c r="F108" s="260">
        <f t="shared" si="12"/>
        <v>3.9865305744611274E-10</v>
      </c>
      <c r="G108" s="268"/>
      <c r="H108" s="270" t="s">
        <v>615</v>
      </c>
      <c r="I108" s="264">
        <v>1700</v>
      </c>
      <c r="J108" s="44">
        <v>1379</v>
      </c>
      <c r="K108" s="287">
        <f t="shared" si="8"/>
        <v>1.2327773749093547</v>
      </c>
      <c r="M108" s="270" t="s">
        <v>615</v>
      </c>
      <c r="N108" s="291">
        <v>379934082899</v>
      </c>
      <c r="O108" s="44">
        <f t="shared" si="13"/>
        <v>10347343192163</v>
      </c>
      <c r="P108" s="295">
        <f t="shared" si="10"/>
        <v>3.6718032430465744E-2</v>
      </c>
      <c r="R108" s="270" t="s">
        <v>615</v>
      </c>
      <c r="S108" s="291">
        <v>771936999821</v>
      </c>
      <c r="T108" s="44">
        <v>45951188475157</v>
      </c>
      <c r="U108" s="299">
        <f t="shared" si="11"/>
        <v>1.6799064952114116E-2</v>
      </c>
    </row>
    <row r="109" spans="2:21" ht="15.95" customHeight="1" x14ac:dyDescent="0.2">
      <c r="B109" s="225" t="str">
        <f>'X2'!B316</f>
        <v>CTRA</v>
      </c>
      <c r="C109" s="225" t="str">
        <f>'X2'!C316</f>
        <v>PT CIPUTRA DEVELOPMENT</v>
      </c>
      <c r="D109" s="43">
        <v>3622</v>
      </c>
      <c r="E109" s="44">
        <v>6442797000000</v>
      </c>
      <c r="F109" s="260">
        <f t="shared" si="12"/>
        <v>5.621781968297309E-10</v>
      </c>
      <c r="G109" s="268"/>
      <c r="H109" s="270" t="s">
        <v>622</v>
      </c>
      <c r="I109" s="264">
        <v>1185</v>
      </c>
      <c r="J109" s="44">
        <v>832</v>
      </c>
      <c r="K109" s="287">
        <f t="shared" si="8"/>
        <v>1.4242788461538463</v>
      </c>
      <c r="M109" s="270" t="s">
        <v>622</v>
      </c>
      <c r="N109" s="291">
        <v>1394000000</v>
      </c>
      <c r="O109" s="44">
        <f t="shared" si="13"/>
        <v>6442797000000</v>
      </c>
      <c r="P109" s="295">
        <f t="shared" si="10"/>
        <v>2.1636565609625758E-4</v>
      </c>
      <c r="R109" s="270" t="s">
        <v>622</v>
      </c>
      <c r="S109" s="291">
        <v>3137453000000</v>
      </c>
      <c r="T109" s="44">
        <v>31706163000000</v>
      </c>
      <c r="U109" s="299">
        <f t="shared" si="11"/>
        <v>9.8954042468021128E-2</v>
      </c>
    </row>
    <row r="110" spans="2:21" ht="15.95" customHeight="1" x14ac:dyDescent="0.2">
      <c r="B110" s="225" t="str">
        <f>'X2'!B319</f>
        <v>DILD</v>
      </c>
      <c r="C110" s="225" t="str">
        <f>'X2'!C319</f>
        <v>PT INTILAND DEVELOPMENT</v>
      </c>
      <c r="D110" s="43">
        <v>1580</v>
      </c>
      <c r="E110" s="44">
        <v>2202820510610</v>
      </c>
      <c r="F110" s="260">
        <f t="shared" si="12"/>
        <v>7.1726225191287601E-10</v>
      </c>
      <c r="G110" s="268"/>
      <c r="H110" s="270" t="s">
        <v>630</v>
      </c>
      <c r="I110" s="264">
        <v>350</v>
      </c>
      <c r="J110" s="44">
        <v>608</v>
      </c>
      <c r="K110" s="287">
        <f t="shared" si="8"/>
        <v>0.57565789473684215</v>
      </c>
      <c r="M110" s="270" t="s">
        <v>630</v>
      </c>
      <c r="N110" s="291">
        <v>64872732264</v>
      </c>
      <c r="O110" s="44">
        <f t="shared" si="13"/>
        <v>2202820510610</v>
      </c>
      <c r="P110" s="295">
        <f t="shared" si="10"/>
        <v>2.9449849386973245E-2</v>
      </c>
      <c r="R110" s="270" t="s">
        <v>630</v>
      </c>
      <c r="S110" s="291">
        <v>228689596062</v>
      </c>
      <c r="T110" s="44">
        <v>13097184984411</v>
      </c>
      <c r="U110" s="299">
        <f t="shared" si="11"/>
        <v>1.7460973204104478E-2</v>
      </c>
    </row>
    <row r="111" spans="2:21" ht="15.95" customHeight="1" x14ac:dyDescent="0.2">
      <c r="B111" s="225" t="str">
        <f>'X2'!B322</f>
        <v>DMAS</v>
      </c>
      <c r="C111" s="225" t="str">
        <f>'X2'!C322</f>
        <v>PT PURADELTA LESTARI</v>
      </c>
      <c r="D111" s="43">
        <v>503</v>
      </c>
      <c r="E111" s="44">
        <v>1336390680684</v>
      </c>
      <c r="F111" s="260">
        <f t="shared" si="12"/>
        <v>3.7638694078781762E-10</v>
      </c>
      <c r="G111" s="268"/>
      <c r="H111" s="270" t="s">
        <v>633</v>
      </c>
      <c r="I111" s="264">
        <v>171</v>
      </c>
      <c r="J111" s="44">
        <v>145</v>
      </c>
      <c r="K111" s="287">
        <f t="shared" si="8"/>
        <v>1.1793103448275861</v>
      </c>
      <c r="M111" s="270" t="s">
        <v>633</v>
      </c>
      <c r="N111" s="291">
        <v>3986397259</v>
      </c>
      <c r="O111" s="44">
        <f t="shared" si="13"/>
        <v>1336390680684</v>
      </c>
      <c r="P111" s="295">
        <f t="shared" si="10"/>
        <v>2.9829579902185912E-3</v>
      </c>
      <c r="R111" s="270" t="s">
        <v>633</v>
      </c>
      <c r="S111" s="291">
        <v>319501561830</v>
      </c>
      <c r="T111" s="44">
        <v>7470941557319</v>
      </c>
      <c r="U111" s="299">
        <f t="shared" si="11"/>
        <v>4.2765902982736671E-2</v>
      </c>
    </row>
    <row r="112" spans="2:21" ht="15.95" customHeight="1" x14ac:dyDescent="0.2">
      <c r="B112" s="225" t="str">
        <f>'X2'!B325</f>
        <v>ELTY</v>
      </c>
      <c r="C112" s="225" t="str">
        <f>'X2'!C325</f>
        <v>PT BAKRIELAND DEVELOPMENT</v>
      </c>
      <c r="D112" s="43">
        <v>653</v>
      </c>
      <c r="E112" s="44">
        <v>1239228442094</v>
      </c>
      <c r="F112" s="260">
        <f t="shared" si="12"/>
        <v>5.2694077848680263E-10</v>
      </c>
      <c r="G112" s="268"/>
      <c r="H112" s="270" t="s">
        <v>635</v>
      </c>
      <c r="I112" s="264">
        <v>50</v>
      </c>
      <c r="J112" s="44">
        <v>171</v>
      </c>
      <c r="K112" s="287">
        <f t="shared" si="8"/>
        <v>0.29239766081871343</v>
      </c>
      <c r="M112" s="270" t="s">
        <v>635</v>
      </c>
      <c r="N112" s="291">
        <v>352698025</v>
      </c>
      <c r="O112" s="44">
        <f t="shared" si="13"/>
        <v>1239228442094</v>
      </c>
      <c r="P112" s="295">
        <f t="shared" si="10"/>
        <v>2.8461098294679598E-4</v>
      </c>
      <c r="R112" s="270" t="s">
        <v>635</v>
      </c>
      <c r="S112" s="291">
        <v>2922191118590</v>
      </c>
      <c r="T112" s="44">
        <v>14082517542900</v>
      </c>
      <c r="U112" s="299">
        <f t="shared" si="11"/>
        <v>0.20750488040849518</v>
      </c>
    </row>
    <row r="113" spans="2:21" ht="15.95" customHeight="1" x14ac:dyDescent="0.2">
      <c r="B113" s="225" t="str">
        <f>'X2'!B328</f>
        <v>JKON</v>
      </c>
      <c r="C113" s="225" t="str">
        <f>'X2'!C328</f>
        <v>PT JAYA KONSTRUKSI MANGGALA PRATAMA</v>
      </c>
      <c r="D113" s="43">
        <v>2146</v>
      </c>
      <c r="E113" s="44">
        <v>4495503187000</v>
      </c>
      <c r="F113" s="260">
        <f t="shared" si="12"/>
        <v>4.77365916724463E-10</v>
      </c>
      <c r="G113" s="268"/>
      <c r="H113" s="270" t="s">
        <v>649</v>
      </c>
      <c r="I113" s="264">
        <v>540</v>
      </c>
      <c r="J113" s="44">
        <v>147</v>
      </c>
      <c r="K113" s="287">
        <f t="shared" si="8"/>
        <v>3.6734693877551021</v>
      </c>
      <c r="M113" s="270" t="s">
        <v>649</v>
      </c>
      <c r="N113" s="291">
        <v>0</v>
      </c>
      <c r="O113" s="44">
        <f t="shared" si="13"/>
        <v>4495503187000</v>
      </c>
      <c r="P113" s="295">
        <f t="shared" si="10"/>
        <v>0</v>
      </c>
      <c r="R113" s="270" t="s">
        <v>649</v>
      </c>
      <c r="S113" s="291">
        <v>732412188000</v>
      </c>
      <c r="T113" s="44">
        <v>4202515316000</v>
      </c>
      <c r="U113" s="299">
        <f t="shared" si="11"/>
        <v>0.17427948096025453</v>
      </c>
    </row>
    <row r="114" spans="2:21" ht="15.95" customHeight="1" x14ac:dyDescent="0.2">
      <c r="B114" s="225" t="str">
        <f>'X2'!B331</f>
        <v>KIJA</v>
      </c>
      <c r="C114" s="225" t="str">
        <f>'X2'!C331</f>
        <v>PT KAWASAN INDUSTRI JABABEKA</v>
      </c>
      <c r="D114" s="43">
        <v>822</v>
      </c>
      <c r="E114" s="44">
        <v>2994759224061</v>
      </c>
      <c r="F114" s="260">
        <f t="shared" si="12"/>
        <v>2.7447949517802596E-10</v>
      </c>
      <c r="G114" s="268"/>
      <c r="H114" s="270" t="s">
        <v>657</v>
      </c>
      <c r="I114" s="264">
        <v>286</v>
      </c>
      <c r="J114" s="44">
        <v>283</v>
      </c>
      <c r="K114" s="287">
        <f t="shared" si="8"/>
        <v>1.010600706713781</v>
      </c>
      <c r="M114" s="270" t="s">
        <v>657</v>
      </c>
      <c r="N114" s="291">
        <v>42923413120</v>
      </c>
      <c r="O114" s="44">
        <f t="shared" si="13"/>
        <v>2994759224061</v>
      </c>
      <c r="P114" s="295">
        <f t="shared" si="10"/>
        <v>1.4332842779191552E-2</v>
      </c>
      <c r="R114" s="270" t="s">
        <v>657</v>
      </c>
      <c r="S114" s="291">
        <v>2369819209018</v>
      </c>
      <c r="T114" s="44">
        <v>11266320312348</v>
      </c>
      <c r="U114" s="299">
        <f t="shared" si="11"/>
        <v>0.21034544938516034</v>
      </c>
    </row>
    <row r="115" spans="2:21" ht="15.95" customHeight="1" x14ac:dyDescent="0.2">
      <c r="B115" s="225" t="str">
        <f>'X2'!B334</f>
        <v>LPCK</v>
      </c>
      <c r="C115" s="225" t="str">
        <f>'X2'!C334</f>
        <v xml:space="preserve">PT LIPPO CIKARANG </v>
      </c>
      <c r="D115" s="43">
        <v>546</v>
      </c>
      <c r="E115" s="44">
        <v>1457524000000</v>
      </c>
      <c r="F115" s="260">
        <f t="shared" si="12"/>
        <v>3.7460789667957441E-10</v>
      </c>
      <c r="G115" s="268"/>
      <c r="H115" s="270" t="s">
        <v>662</v>
      </c>
      <c r="I115" s="264">
        <v>3015</v>
      </c>
      <c r="J115" s="44">
        <v>2881</v>
      </c>
      <c r="K115" s="287">
        <f t="shared" si="8"/>
        <v>1.0465116279069768</v>
      </c>
      <c r="M115" s="270" t="s">
        <v>662</v>
      </c>
      <c r="N115" s="291">
        <v>126449000000</v>
      </c>
      <c r="O115" s="44">
        <f t="shared" si="13"/>
        <v>1457524000000</v>
      </c>
      <c r="P115" s="295">
        <f t="shared" si="10"/>
        <v>8.6756032833764665E-2</v>
      </c>
      <c r="R115" s="270" t="s">
        <v>662</v>
      </c>
      <c r="S115" s="291">
        <v>99723000000</v>
      </c>
      <c r="T115" s="44">
        <v>12378227000000</v>
      </c>
      <c r="U115" s="299">
        <f t="shared" si="11"/>
        <v>8.0563234136843669E-3</v>
      </c>
    </row>
    <row r="116" spans="2:21" ht="15.95" customHeight="1" x14ac:dyDescent="0.2">
      <c r="B116" s="225" t="str">
        <f>'X2'!B337</f>
        <v>LPKR</v>
      </c>
      <c r="C116" s="225" t="str">
        <f>'X2'!C337</f>
        <v>PT LIPPO KARAWACI</v>
      </c>
      <c r="D116" s="43">
        <v>9723</v>
      </c>
      <c r="E116" s="44">
        <v>10902928000000</v>
      </c>
      <c r="F116" s="260">
        <f t="shared" si="12"/>
        <v>8.9177879556757598E-10</v>
      </c>
      <c r="G116" s="268"/>
      <c r="H116" s="270" t="s">
        <v>665</v>
      </c>
      <c r="I116" s="264">
        <v>387</v>
      </c>
      <c r="J116" s="44">
        <v>421</v>
      </c>
      <c r="K116" s="287">
        <f t="shared" si="8"/>
        <v>0.91923990498812347</v>
      </c>
      <c r="M116" s="270" t="s">
        <v>665</v>
      </c>
      <c r="N116" s="291">
        <v>249868000000</v>
      </c>
      <c r="O116" s="44">
        <f t="shared" si="13"/>
        <v>10902928000000</v>
      </c>
      <c r="P116" s="295">
        <f t="shared" si="10"/>
        <v>2.2917513533979129E-2</v>
      </c>
      <c r="R116" s="270" t="s">
        <v>665</v>
      </c>
      <c r="S116" s="291">
        <v>3854458000000</v>
      </c>
      <c r="T116" s="44">
        <v>56772116000000</v>
      </c>
      <c r="U116" s="299">
        <f t="shared" si="11"/>
        <v>6.7893506030319531E-2</v>
      </c>
    </row>
    <row r="117" spans="2:21" ht="15.95" customHeight="1" x14ac:dyDescent="0.2">
      <c r="B117" s="225" t="str">
        <f>'X2'!B340</f>
        <v>MDLN</v>
      </c>
      <c r="C117" s="225" t="str">
        <f>'X2'!C340</f>
        <v>PT MODERNLAND REALTY</v>
      </c>
      <c r="D117" s="43">
        <v>1139</v>
      </c>
      <c r="E117" s="44">
        <v>3195904064863</v>
      </c>
      <c r="F117" s="260">
        <f t="shared" si="12"/>
        <v>3.5639367668216471E-10</v>
      </c>
      <c r="G117" s="268"/>
      <c r="H117" s="270" t="s">
        <v>654</v>
      </c>
      <c r="I117" s="264">
        <v>294</v>
      </c>
      <c r="J117" s="44">
        <v>564</v>
      </c>
      <c r="K117" s="287">
        <f t="shared" si="8"/>
        <v>0.52127659574468088</v>
      </c>
      <c r="M117" s="270" t="s">
        <v>654</v>
      </c>
      <c r="N117" s="291">
        <v>48821170659</v>
      </c>
      <c r="O117" s="44">
        <f t="shared" si="13"/>
        <v>3195904064863</v>
      </c>
      <c r="P117" s="295">
        <f t="shared" si="10"/>
        <v>1.5276169017636903E-2</v>
      </c>
      <c r="R117" s="270" t="s">
        <v>654</v>
      </c>
      <c r="S117" s="291">
        <v>1322677200220</v>
      </c>
      <c r="T117" s="44">
        <v>14599669337351</v>
      </c>
      <c r="U117" s="299">
        <f t="shared" si="11"/>
        <v>9.059638062049355E-2</v>
      </c>
    </row>
    <row r="118" spans="2:21" ht="15.95" customHeight="1" x14ac:dyDescent="0.2">
      <c r="B118" s="225" t="str">
        <f>'X2'!B343</f>
        <v>PBSA</v>
      </c>
      <c r="C118" s="225" t="str">
        <f>'X2'!C343</f>
        <v>PT PARAMITA BANGUN SARANA</v>
      </c>
      <c r="D118" s="43">
        <v>127</v>
      </c>
      <c r="E118" s="44">
        <v>630066809911</v>
      </c>
      <c r="F118" s="260">
        <f t="shared" si="12"/>
        <v>2.0156592602924024E-10</v>
      </c>
      <c r="G118" s="268"/>
      <c r="H118" s="270" t="s">
        <v>675</v>
      </c>
      <c r="I118" s="264">
        <v>1750</v>
      </c>
      <c r="J118" s="44">
        <v>413</v>
      </c>
      <c r="K118" s="287">
        <f t="shared" si="8"/>
        <v>4.2372881355932206</v>
      </c>
      <c r="M118" s="270" t="s">
        <v>675</v>
      </c>
      <c r="N118" s="291">
        <v>0</v>
      </c>
      <c r="O118" s="44">
        <f t="shared" si="13"/>
        <v>630066809911</v>
      </c>
      <c r="P118" s="295">
        <f t="shared" si="10"/>
        <v>0</v>
      </c>
      <c r="R118" s="270" t="s">
        <v>675</v>
      </c>
      <c r="S118" s="291">
        <v>68928365055</v>
      </c>
      <c r="T118" s="44">
        <v>841399521382</v>
      </c>
      <c r="U118" s="299">
        <f t="shared" si="11"/>
        <v>8.1921088975407369E-2</v>
      </c>
    </row>
    <row r="119" spans="2:21" ht="15.95" customHeight="1" x14ac:dyDescent="0.2">
      <c r="B119" s="225" t="str">
        <f>'X2'!B346</f>
        <v>PWON</v>
      </c>
      <c r="C119" s="225" t="str">
        <f>'X2'!C346</f>
        <v>PT PAKUWON JATI</v>
      </c>
      <c r="D119" s="43">
        <v>3093</v>
      </c>
      <c r="E119" s="44">
        <v>5717537579000</v>
      </c>
      <c r="F119" s="260">
        <f t="shared" si="12"/>
        <v>5.4096714840324091E-10</v>
      </c>
      <c r="G119" s="268"/>
      <c r="H119" s="270" t="s">
        <v>691</v>
      </c>
      <c r="I119" s="264">
        <v>685</v>
      </c>
      <c r="J119" s="44">
        <v>265</v>
      </c>
      <c r="K119" s="287">
        <f t="shared" si="8"/>
        <v>2.5849056603773586</v>
      </c>
      <c r="M119" s="270" t="s">
        <v>691</v>
      </c>
      <c r="N119" s="291">
        <v>26725126000</v>
      </c>
      <c r="O119" s="44">
        <f t="shared" si="13"/>
        <v>5717537579000</v>
      </c>
      <c r="P119" s="295">
        <f t="shared" si="10"/>
        <v>4.674237052356066E-3</v>
      </c>
      <c r="R119" s="270" t="s">
        <v>691</v>
      </c>
      <c r="S119" s="291">
        <v>1681938098000</v>
      </c>
      <c r="T119" s="44">
        <v>23358717736000</v>
      </c>
      <c r="U119" s="299">
        <f t="shared" si="11"/>
        <v>7.2004727186194384E-2</v>
      </c>
    </row>
    <row r="120" spans="2:21" ht="15.95" customHeight="1" x14ac:dyDescent="0.2">
      <c r="B120" s="224" t="str">
        <f>'X2'!B349</f>
        <v>ABMM</v>
      </c>
      <c r="C120" s="224" t="str">
        <f>'X2'!C349</f>
        <v>PT ABM INVESTAMA</v>
      </c>
      <c r="D120" s="43">
        <v>5339</v>
      </c>
      <c r="E120" s="44">
        <f>690732993*A9</f>
        <v>9372555982017</v>
      </c>
      <c r="F120" s="260">
        <f t="shared" si="12"/>
        <v>5.6964183625511218E-10</v>
      </c>
      <c r="G120" s="268"/>
      <c r="H120" s="270" t="s">
        <v>718</v>
      </c>
      <c r="I120" s="264">
        <v>2300</v>
      </c>
      <c r="J120" s="44">
        <v>793</v>
      </c>
      <c r="K120" s="287">
        <f t="shared" si="8"/>
        <v>2.9003783102143759</v>
      </c>
      <c r="M120" s="270" t="s">
        <v>718</v>
      </c>
      <c r="N120" s="291">
        <v>0</v>
      </c>
      <c r="O120" s="44">
        <f t="shared" si="13"/>
        <v>9372555982017</v>
      </c>
      <c r="P120" s="295">
        <f t="shared" si="10"/>
        <v>0</v>
      </c>
      <c r="R120" s="270" t="s">
        <v>718</v>
      </c>
      <c r="S120" s="291">
        <f>602810653*A9</f>
        <v>8179537750557</v>
      </c>
      <c r="T120" s="44">
        <f>1042673806*A9</f>
        <v>14148040873614</v>
      </c>
      <c r="U120" s="299">
        <f t="shared" si="11"/>
        <v>0.5781392507715879</v>
      </c>
    </row>
    <row r="121" spans="2:21" ht="15.95" customHeight="1" x14ac:dyDescent="0.2">
      <c r="B121" s="224" t="str">
        <f>'X2'!B352</f>
        <v>AKRA</v>
      </c>
      <c r="C121" s="224" t="str">
        <f>'X2'!C352</f>
        <v>PT AKR CORPORINDO</v>
      </c>
      <c r="D121" s="43">
        <v>2145</v>
      </c>
      <c r="E121" s="44">
        <v>18287935534000</v>
      </c>
      <c r="F121" s="260">
        <f t="shared" si="12"/>
        <v>1.1729043970064991E-10</v>
      </c>
      <c r="G121" s="268"/>
      <c r="H121" s="270" t="s">
        <v>723</v>
      </c>
      <c r="I121" s="264">
        <v>6350</v>
      </c>
      <c r="J121" s="44">
        <v>2249</v>
      </c>
      <c r="K121" s="287">
        <f t="shared" si="8"/>
        <v>2.8234771009337485</v>
      </c>
      <c r="M121" s="270" t="s">
        <v>723</v>
      </c>
      <c r="N121" s="291">
        <v>2941496000</v>
      </c>
      <c r="O121" s="44">
        <f t="shared" si="13"/>
        <v>18287935534000</v>
      </c>
      <c r="P121" s="295">
        <f t="shared" si="10"/>
        <v>1.6084352411081722E-4</v>
      </c>
      <c r="R121" s="270" t="s">
        <v>723</v>
      </c>
      <c r="S121" s="291">
        <v>4214694189000</v>
      </c>
      <c r="T121" s="44">
        <v>16823208531000</v>
      </c>
      <c r="U121" s="299">
        <f t="shared" si="11"/>
        <v>0.25052855887945602</v>
      </c>
    </row>
    <row r="122" spans="2:21" ht="15.95" customHeight="1" x14ac:dyDescent="0.2">
      <c r="B122" s="224" t="str">
        <f>'X2'!B355</f>
        <v>AMRT</v>
      </c>
      <c r="C122" s="224" t="str">
        <f>'X2'!C355</f>
        <v>PT SUMBER ALFARIA TRIJAYA</v>
      </c>
      <c r="D122" s="43">
        <v>47310</v>
      </c>
      <c r="E122" s="44">
        <v>61464903000000</v>
      </c>
      <c r="F122" s="260">
        <f t="shared" si="12"/>
        <v>7.6970755164130011E-10</v>
      </c>
      <c r="G122" s="268"/>
      <c r="H122" s="270" t="s">
        <v>727</v>
      </c>
      <c r="I122" s="264">
        <v>610</v>
      </c>
      <c r="J122" s="44">
        <v>126</v>
      </c>
      <c r="K122" s="287">
        <f t="shared" si="8"/>
        <v>4.8412698412698409</v>
      </c>
      <c r="M122" s="270" t="s">
        <v>727</v>
      </c>
      <c r="N122" s="291">
        <v>30332000000</v>
      </c>
      <c r="O122" s="44">
        <f t="shared" si="13"/>
        <v>61464903000000</v>
      </c>
      <c r="P122" s="295">
        <f t="shared" si="10"/>
        <v>4.9348487542557413E-4</v>
      </c>
      <c r="R122" s="270" t="s">
        <v>727</v>
      </c>
      <c r="S122" s="291">
        <v>6042904000000</v>
      </c>
      <c r="T122" s="44">
        <v>21901740000000</v>
      </c>
      <c r="U122" s="299">
        <f t="shared" si="11"/>
        <v>0.27590976789971938</v>
      </c>
    </row>
    <row r="123" spans="2:21" ht="15.95" customHeight="1" x14ac:dyDescent="0.2">
      <c r="B123" s="224" t="str">
        <f>'X2'!B358</f>
        <v>ATIC</v>
      </c>
      <c r="C123" s="224" t="str">
        <f>'X2'!C358</f>
        <v>ANABATIC TECHNOLOGIES</v>
      </c>
      <c r="D123" s="43">
        <v>1498</v>
      </c>
      <c r="E123" s="44">
        <v>4593876093254</v>
      </c>
      <c r="F123" s="260">
        <f t="shared" si="12"/>
        <v>3.2608628739459864E-10</v>
      </c>
      <c r="G123" s="268"/>
      <c r="H123" s="270" t="s">
        <v>731</v>
      </c>
      <c r="I123" s="264">
        <v>1044</v>
      </c>
      <c r="J123" s="44">
        <v>347</v>
      </c>
      <c r="K123" s="287">
        <f t="shared" si="8"/>
        <v>3.0086455331412103</v>
      </c>
      <c r="M123" s="270" t="s">
        <v>731</v>
      </c>
      <c r="N123" s="291">
        <v>6252635222</v>
      </c>
      <c r="O123" s="44">
        <f t="shared" si="13"/>
        <v>4593876093254</v>
      </c>
      <c r="P123" s="295">
        <f t="shared" si="10"/>
        <v>1.3610805113315637E-3</v>
      </c>
      <c r="R123" s="270" t="s">
        <v>731</v>
      </c>
      <c r="S123" s="291">
        <v>515634041247</v>
      </c>
      <c r="T123" s="44">
        <v>3258019612783</v>
      </c>
      <c r="U123" s="299">
        <f t="shared" si="11"/>
        <v>0.15826609490743535</v>
      </c>
    </row>
    <row r="124" spans="2:21" ht="15.95" customHeight="1" x14ac:dyDescent="0.2">
      <c r="B124" s="224" t="str">
        <f>'X2'!B361</f>
        <v>BHIT</v>
      </c>
      <c r="C124" s="224" t="str">
        <f>'X2'!C361</f>
        <v>PT MNC INVESTAMA</v>
      </c>
      <c r="D124" s="43">
        <v>14312</v>
      </c>
      <c r="E124" s="44">
        <v>13580269000000</v>
      </c>
      <c r="F124" s="260">
        <f t="shared" si="12"/>
        <v>1.0538819223684009E-9</v>
      </c>
      <c r="G124" s="268"/>
      <c r="H124" s="270" t="s">
        <v>735</v>
      </c>
      <c r="I124" s="264">
        <v>96</v>
      </c>
      <c r="J124" s="44">
        <v>326</v>
      </c>
      <c r="K124" s="287">
        <f t="shared" si="8"/>
        <v>0.29447852760736198</v>
      </c>
      <c r="M124" s="270" t="s">
        <v>735</v>
      </c>
      <c r="N124" s="291">
        <v>2670473000000</v>
      </c>
      <c r="O124" s="44">
        <f t="shared" si="13"/>
        <v>13580269000000</v>
      </c>
      <c r="P124" s="295">
        <f t="shared" si="10"/>
        <v>0.19664360109508877</v>
      </c>
      <c r="R124" s="270" t="s">
        <v>735</v>
      </c>
      <c r="S124" s="291">
        <v>12801851000000</v>
      </c>
      <c r="T124" s="44">
        <v>56523811000000</v>
      </c>
      <c r="U124" s="299">
        <f t="shared" si="11"/>
        <v>0.22648598481797344</v>
      </c>
    </row>
    <row r="125" spans="2:21" ht="15.95" customHeight="1" x14ac:dyDescent="0.2">
      <c r="B125" s="224" t="str">
        <f>'X2'!B364</f>
        <v>BMSR</v>
      </c>
      <c r="C125" s="224" t="str">
        <f>'X2'!C364</f>
        <v>PT BINTANG MITRA SEMESTARAYA</v>
      </c>
      <c r="D125" s="43">
        <v>49</v>
      </c>
      <c r="E125" s="44">
        <v>2627918564007</v>
      </c>
      <c r="F125" s="260">
        <f t="shared" si="12"/>
        <v>1.8645935483360542E-11</v>
      </c>
      <c r="G125" s="268"/>
      <c r="H125" s="270" t="s">
        <v>739</v>
      </c>
      <c r="I125" s="264">
        <v>140</v>
      </c>
      <c r="J125" s="44">
        <v>123</v>
      </c>
      <c r="K125" s="287">
        <f t="shared" si="8"/>
        <v>1.1382113821138211</v>
      </c>
      <c r="M125" s="270" t="s">
        <v>739</v>
      </c>
      <c r="N125" s="291">
        <v>0</v>
      </c>
      <c r="O125" s="44">
        <f t="shared" si="13"/>
        <v>2627918564007</v>
      </c>
      <c r="P125" s="295">
        <f t="shared" si="10"/>
        <v>0</v>
      </c>
      <c r="R125" s="270" t="s">
        <v>739</v>
      </c>
      <c r="S125" s="291">
        <v>25737855114</v>
      </c>
      <c r="T125" s="44">
        <v>505111733824</v>
      </c>
      <c r="U125" s="299">
        <f t="shared" si="11"/>
        <v>5.0954775726845501E-2</v>
      </c>
    </row>
    <row r="126" spans="2:21" ht="15.95" customHeight="1" x14ac:dyDescent="0.2">
      <c r="B126" s="224" t="str">
        <f>'X2'!B367</f>
        <v>BMTR</v>
      </c>
      <c r="C126" s="224" t="str">
        <f>'X2'!C367</f>
        <v>PT GLOBAL MEDIACOM</v>
      </c>
      <c r="D126" s="43">
        <v>11490</v>
      </c>
      <c r="E126" s="44">
        <v>10829450000000</v>
      </c>
      <c r="F126" s="260">
        <f t="shared" si="12"/>
        <v>1.0609957107701683E-9</v>
      </c>
      <c r="G126" s="268"/>
      <c r="H126" s="270" t="s">
        <v>743</v>
      </c>
      <c r="I126" s="264">
        <v>590</v>
      </c>
      <c r="J126" s="44">
        <v>851</v>
      </c>
      <c r="K126" s="287">
        <f t="shared" si="8"/>
        <v>0.6933019976498237</v>
      </c>
      <c r="M126" s="270" t="s">
        <v>743</v>
      </c>
      <c r="N126" s="291">
        <v>449884000000</v>
      </c>
      <c r="O126" s="44">
        <f t="shared" si="13"/>
        <v>10829450000000</v>
      </c>
      <c r="P126" s="295">
        <f t="shared" si="10"/>
        <v>4.1542645286695074E-2</v>
      </c>
      <c r="R126" s="270" t="s">
        <v>743</v>
      </c>
      <c r="S126" s="291">
        <v>11386096000000</v>
      </c>
      <c r="T126" s="44">
        <v>27694734000000</v>
      </c>
      <c r="U126" s="299">
        <f t="shared" si="11"/>
        <v>0.41112855606412396</v>
      </c>
    </row>
    <row r="127" spans="2:21" ht="15.95" customHeight="1" x14ac:dyDescent="0.2">
      <c r="B127" s="224" t="str">
        <f>'X2'!B370</f>
        <v>EMTK</v>
      </c>
      <c r="C127" s="224" t="str">
        <f>'X2'!C370</f>
        <v>PT ELANG MAHKOTA TEKNOLOGI</v>
      </c>
      <c r="D127" s="43">
        <v>4691</v>
      </c>
      <c r="E127" s="44">
        <v>7592963086000</v>
      </c>
      <c r="F127" s="260">
        <f t="shared" si="12"/>
        <v>6.1780887736031853E-10</v>
      </c>
      <c r="G127" s="268"/>
      <c r="H127" s="270" t="s">
        <v>757</v>
      </c>
      <c r="I127" s="264">
        <v>9500</v>
      </c>
      <c r="J127" s="44">
        <v>3162</v>
      </c>
      <c r="K127" s="287">
        <f t="shared" si="8"/>
        <v>3.0044275774826059</v>
      </c>
      <c r="M127" s="270" t="s">
        <v>757</v>
      </c>
      <c r="N127" s="291">
        <v>49004179000</v>
      </c>
      <c r="O127" s="44">
        <f t="shared" si="13"/>
        <v>7592963086000</v>
      </c>
      <c r="P127" s="295">
        <f t="shared" si="10"/>
        <v>6.4538940127806645E-3</v>
      </c>
      <c r="R127" s="270" t="s">
        <v>757</v>
      </c>
      <c r="S127" s="291">
        <v>2334416685000</v>
      </c>
      <c r="T127" s="44">
        <v>22209662128000</v>
      </c>
      <c r="U127" s="299">
        <f t="shared" si="11"/>
        <v>0.10510815840178728</v>
      </c>
    </row>
    <row r="128" spans="2:21" ht="15.95" customHeight="1" x14ac:dyDescent="0.2">
      <c r="B128" s="224" t="str">
        <f>'X2'!B373</f>
        <v>ERAA</v>
      </c>
      <c r="C128" s="224" t="str">
        <f>'X2'!C373</f>
        <v>PT ERAJAYA SWASEMBADA</v>
      </c>
      <c r="D128" s="43">
        <v>2162</v>
      </c>
      <c r="E128" s="44">
        <v>24229915013932</v>
      </c>
      <c r="F128" s="260">
        <f t="shared" si="12"/>
        <v>8.9228542434295293E-11</v>
      </c>
      <c r="G128" s="268"/>
      <c r="H128" s="270" t="s">
        <v>760</v>
      </c>
      <c r="I128" s="264">
        <v>735</v>
      </c>
      <c r="J128" s="44">
        <v>1161</v>
      </c>
      <c r="K128" s="287">
        <f t="shared" si="8"/>
        <v>0.63307493540051685</v>
      </c>
      <c r="M128" s="270" t="s">
        <v>760</v>
      </c>
      <c r="N128" s="291">
        <v>284708497637</v>
      </c>
      <c r="O128" s="44">
        <f t="shared" si="13"/>
        <v>24229915013932</v>
      </c>
      <c r="P128" s="295">
        <f t="shared" si="10"/>
        <v>1.1750288743204216E-2</v>
      </c>
      <c r="R128" s="270" t="s">
        <v>760</v>
      </c>
      <c r="S128" s="291">
        <v>485804663533</v>
      </c>
      <c r="T128" s="44">
        <v>8873875493055</v>
      </c>
      <c r="U128" s="299">
        <f t="shared" si="11"/>
        <v>5.4745490165284315E-2</v>
      </c>
    </row>
    <row r="129" spans="2:21" ht="15.95" customHeight="1" x14ac:dyDescent="0.2">
      <c r="B129" s="224" t="str">
        <f>'X2'!B376</f>
        <v>HERO</v>
      </c>
      <c r="C129" s="224" t="str">
        <f>'X2'!C376</f>
        <v>PT HERO SUPERMARKET</v>
      </c>
      <c r="D129" s="43">
        <v>14642</v>
      </c>
      <c r="E129" s="44">
        <v>13033638000000</v>
      </c>
      <c r="F129" s="260">
        <f t="shared" si="12"/>
        <v>1.1234008494021392E-9</v>
      </c>
      <c r="G129" s="268"/>
      <c r="H129" s="270" t="s">
        <v>770</v>
      </c>
      <c r="I129" s="264">
        <v>925</v>
      </c>
      <c r="J129" s="44">
        <v>1242</v>
      </c>
      <c r="K129" s="287">
        <f t="shared" si="8"/>
        <v>0.74476650563607083</v>
      </c>
      <c r="M129" s="270" t="s">
        <v>770</v>
      </c>
      <c r="N129" s="291">
        <v>272282000000</v>
      </c>
      <c r="O129" s="44">
        <f t="shared" si="13"/>
        <v>13033638000000</v>
      </c>
      <c r="P129" s="295">
        <f t="shared" si="10"/>
        <v>2.0890713705567086E-2</v>
      </c>
      <c r="R129" s="270" t="s">
        <v>770</v>
      </c>
      <c r="S129" s="291">
        <v>4308829000000</v>
      </c>
      <c r="T129" s="44">
        <v>7363144000000</v>
      </c>
      <c r="U129" s="299">
        <f t="shared" si="11"/>
        <v>0.58518874545981991</v>
      </c>
    </row>
    <row r="130" spans="2:21" ht="15.95" customHeight="1" x14ac:dyDescent="0.2">
      <c r="B130" s="224" t="str">
        <f>'X2'!B379</f>
        <v>HEXA</v>
      </c>
      <c r="C130" s="224" t="str">
        <f>'X2'!C379</f>
        <v>PT HEXINDO ADIPERKASA</v>
      </c>
      <c r="D130" s="43">
        <v>1486</v>
      </c>
      <c r="E130" s="44">
        <f>343228140*A9</f>
        <v>4657262631660</v>
      </c>
      <c r="F130" s="260">
        <f t="shared" si="12"/>
        <v>3.1907154857409044E-10</v>
      </c>
      <c r="G130" s="268"/>
      <c r="H130" s="270" t="s">
        <v>774</v>
      </c>
      <c r="I130" s="264">
        <v>2990</v>
      </c>
      <c r="J130" s="44">
        <v>2408</v>
      </c>
      <c r="K130" s="287">
        <f t="shared" si="8"/>
        <v>1.2416943521594683</v>
      </c>
      <c r="M130" s="270" t="s">
        <v>774</v>
      </c>
      <c r="N130" s="291">
        <v>0</v>
      </c>
      <c r="O130" s="44">
        <f t="shared" si="13"/>
        <v>4657262631660</v>
      </c>
      <c r="P130" s="295">
        <f t="shared" si="10"/>
        <v>0</v>
      </c>
      <c r="R130" s="270" t="s">
        <v>774</v>
      </c>
      <c r="S130" s="291">
        <f>33931351*A9</f>
        <v>460414501719</v>
      </c>
      <c r="T130" s="44">
        <f>283350512*A9</f>
        <v>3844783097328</v>
      </c>
      <c r="U130" s="299">
        <f t="shared" si="11"/>
        <v>0.11975044887160818</v>
      </c>
    </row>
    <row r="131" spans="2:21" ht="15.95" customHeight="1" x14ac:dyDescent="0.2">
      <c r="B131" s="224" t="str">
        <f>'X2'!B382</f>
        <v>KREN</v>
      </c>
      <c r="C131" s="224" t="str">
        <f>'X2'!C382</f>
        <v>PT KRESNA GRAHA INVESTAMA</v>
      </c>
      <c r="D131" s="43">
        <v>238</v>
      </c>
      <c r="E131" s="44">
        <v>1569702187476</v>
      </c>
      <c r="F131" s="260">
        <f t="shared" si="12"/>
        <v>1.5162111762275854E-10</v>
      </c>
      <c r="G131" s="268"/>
      <c r="H131" s="270" t="s">
        <v>786</v>
      </c>
      <c r="I131" s="264">
        <v>530</v>
      </c>
      <c r="J131" s="44">
        <v>73</v>
      </c>
      <c r="K131" s="287">
        <f t="shared" si="8"/>
        <v>7.2602739726027394</v>
      </c>
      <c r="M131" s="270" t="s">
        <v>786</v>
      </c>
      <c r="N131" s="291">
        <v>5225657278</v>
      </c>
      <c r="O131" s="44">
        <f t="shared" si="13"/>
        <v>1569702187476</v>
      </c>
      <c r="P131" s="295">
        <f t="shared" si="10"/>
        <v>3.3290756168229507E-3</v>
      </c>
      <c r="R131" s="270" t="s">
        <v>786</v>
      </c>
      <c r="S131" s="291">
        <v>20491973733</v>
      </c>
      <c r="T131" s="44">
        <v>2004213149090</v>
      </c>
      <c r="U131" s="299">
        <f t="shared" si="11"/>
        <v>1.0224448303966197E-2</v>
      </c>
    </row>
    <row r="132" spans="2:21" ht="15.95" customHeight="1" x14ac:dyDescent="0.2">
      <c r="B132" s="224" t="str">
        <f>'X2'!B385</f>
        <v>LINK</v>
      </c>
      <c r="C132" s="224" t="str">
        <f>'X2'!C385</f>
        <v>PT LINK NET</v>
      </c>
      <c r="D132" s="43">
        <v>776</v>
      </c>
      <c r="E132" s="44">
        <v>3399060000000</v>
      </c>
      <c r="F132" s="260">
        <f t="shared" si="12"/>
        <v>2.2829841191388206E-10</v>
      </c>
      <c r="G132" s="268"/>
      <c r="H132" s="270" t="s">
        <v>789</v>
      </c>
      <c r="I132" s="264">
        <v>5500</v>
      </c>
      <c r="J132" s="44">
        <v>1580</v>
      </c>
      <c r="K132" s="287">
        <f t="shared" si="8"/>
        <v>3.481012658227848</v>
      </c>
      <c r="M132" s="270" t="s">
        <v>789</v>
      </c>
      <c r="N132" s="291">
        <v>34085000000</v>
      </c>
      <c r="O132" s="44">
        <f t="shared" si="13"/>
        <v>3399060000000</v>
      </c>
      <c r="P132" s="295">
        <f t="shared" si="10"/>
        <v>1.0027772384129731E-2</v>
      </c>
      <c r="R132" s="270" t="s">
        <v>789</v>
      </c>
      <c r="S132" s="291">
        <v>4117430000000</v>
      </c>
      <c r="T132" s="44">
        <v>5766226000000</v>
      </c>
      <c r="U132" s="299">
        <f t="shared" si="11"/>
        <v>0.71405976803545335</v>
      </c>
    </row>
    <row r="133" spans="2:21" ht="15.95" customHeight="1" x14ac:dyDescent="0.2">
      <c r="B133" s="224" t="str">
        <f>'X2'!B388</f>
        <v>LTLS</v>
      </c>
      <c r="C133" s="224" t="str">
        <f>'X2'!C388</f>
        <v>PT LAUTAN LUAS</v>
      </c>
      <c r="D133" s="43">
        <v>3557</v>
      </c>
      <c r="E133" s="44">
        <v>6596941000000</v>
      </c>
      <c r="F133" s="260">
        <f t="shared" si="12"/>
        <v>5.3918930001041396E-10</v>
      </c>
      <c r="G133" s="268"/>
      <c r="H133" s="270" t="s">
        <v>794</v>
      </c>
      <c r="I133" s="264">
        <v>500</v>
      </c>
      <c r="J133" s="44">
        <v>1199</v>
      </c>
      <c r="K133" s="287">
        <f t="shared" si="8"/>
        <v>0.4170141784820684</v>
      </c>
      <c r="M133" s="270" t="s">
        <v>794</v>
      </c>
      <c r="N133" s="291">
        <v>14334000000</v>
      </c>
      <c r="O133" s="44">
        <f t="shared" si="13"/>
        <v>6596941000000</v>
      </c>
      <c r="P133" s="295">
        <f t="shared" si="10"/>
        <v>2.1728252534015387E-3</v>
      </c>
      <c r="R133" s="270" t="s">
        <v>794</v>
      </c>
      <c r="S133" s="291">
        <v>1952808000000</v>
      </c>
      <c r="T133" s="44">
        <v>5769332000000</v>
      </c>
      <c r="U133" s="299">
        <f t="shared" si="11"/>
        <v>0.33848078079056637</v>
      </c>
    </row>
    <row r="134" spans="2:21" ht="15.95" customHeight="1" x14ac:dyDescent="0.2">
      <c r="B134" s="224" t="str">
        <f>'X2'!B391</f>
        <v>MAPI</v>
      </c>
      <c r="C134" s="224" t="str">
        <f>'X2'!C391</f>
        <v>PT MITRA ADIPERKASA</v>
      </c>
      <c r="D134" s="43">
        <v>22782</v>
      </c>
      <c r="E134" s="44">
        <v>16305732664000</v>
      </c>
      <c r="F134" s="260">
        <f t="shared" si="12"/>
        <v>1.3971773283330214E-9</v>
      </c>
      <c r="G134" s="268"/>
      <c r="H134" s="270" t="s">
        <v>800</v>
      </c>
      <c r="I134" s="264">
        <v>620</v>
      </c>
      <c r="J134" s="44">
        <v>255</v>
      </c>
      <c r="K134" s="287">
        <f t="shared" si="8"/>
        <v>2.4313725490196076</v>
      </c>
      <c r="M134" s="270" t="s">
        <v>800</v>
      </c>
      <c r="N134" s="291">
        <v>158929876000</v>
      </c>
      <c r="O134" s="44">
        <f t="shared" si="13"/>
        <v>16305732664000</v>
      </c>
      <c r="P134" s="295">
        <f t="shared" si="10"/>
        <v>9.746871194011868E-3</v>
      </c>
      <c r="R134" s="270" t="s">
        <v>800</v>
      </c>
      <c r="S134" s="291">
        <v>3103305385000</v>
      </c>
      <c r="T134" s="44">
        <v>11425390076000</v>
      </c>
      <c r="U134" s="299">
        <f t="shared" si="11"/>
        <v>0.27161483015960708</v>
      </c>
    </row>
    <row r="135" spans="2:21" ht="15.95" customHeight="1" x14ac:dyDescent="0.2">
      <c r="B135" s="224" t="str">
        <f>'X2'!B394</f>
        <v>MNCN</v>
      </c>
      <c r="C135" s="224" t="str">
        <f>'X2'!C394</f>
        <v>PT MEDIA NUSANTARA CITRA</v>
      </c>
      <c r="D135" s="43">
        <v>7714</v>
      </c>
      <c r="E135" s="44">
        <v>7052686000000</v>
      </c>
      <c r="F135" s="260">
        <f t="shared" si="12"/>
        <v>1.0937676794344736E-9</v>
      </c>
      <c r="G135" s="268"/>
      <c r="H135" s="270" t="s">
        <v>814</v>
      </c>
      <c r="I135" s="264">
        <v>1285</v>
      </c>
      <c r="J135" s="44">
        <v>651</v>
      </c>
      <c r="K135" s="287">
        <f t="shared" si="8"/>
        <v>1.9738863287250383</v>
      </c>
      <c r="M135" s="270" t="s">
        <v>814</v>
      </c>
      <c r="N135" s="291">
        <v>260782000000</v>
      </c>
      <c r="O135" s="44">
        <f t="shared" si="13"/>
        <v>7052686000000</v>
      </c>
      <c r="P135" s="295">
        <f t="shared" si="10"/>
        <v>3.6976266914477689E-2</v>
      </c>
      <c r="R135" s="270" t="s">
        <v>814</v>
      </c>
      <c r="S135" s="291">
        <v>5306989000000</v>
      </c>
      <c r="T135" s="44">
        <v>15057291000000</v>
      </c>
      <c r="U135" s="299">
        <f t="shared" si="11"/>
        <v>0.35245310726876433</v>
      </c>
    </row>
    <row r="136" spans="2:21" ht="15.95" customHeight="1" x14ac:dyDescent="0.2">
      <c r="B136" s="224" t="str">
        <f>'X2'!B397</f>
        <v>MPMX</v>
      </c>
      <c r="C136" s="224" t="str">
        <f>'X2'!C397</f>
        <v>PT MITRA PHINASTIKA MUSTIKA</v>
      </c>
      <c r="D136" s="43">
        <v>2296</v>
      </c>
      <c r="E136" s="44">
        <f>16086087000000</f>
        <v>16086087000000</v>
      </c>
      <c r="F136" s="260">
        <f t="shared" ref="F136:F142" si="14">D136/E136</f>
        <v>1.4273203918392335E-10</v>
      </c>
      <c r="G136" s="268"/>
      <c r="H136" s="270" t="s">
        <v>818</v>
      </c>
      <c r="I136" s="264">
        <v>970</v>
      </c>
      <c r="J136" s="44">
        <v>1036</v>
      </c>
      <c r="K136" s="287">
        <f t="shared" ref="K136:K142" si="15">I136/J136</f>
        <v>0.93629343629343631</v>
      </c>
      <c r="M136" s="270" t="s">
        <v>818</v>
      </c>
      <c r="N136" s="291">
        <v>211205000000</v>
      </c>
      <c r="O136" s="44">
        <f t="shared" ref="O136:O142" si="16">E136</f>
        <v>16086087000000</v>
      </c>
      <c r="P136" s="295">
        <f t="shared" ref="P136:P142" si="17">N136/O136</f>
        <v>1.3129669135819047E-2</v>
      </c>
      <c r="R136" s="270" t="s">
        <v>818</v>
      </c>
      <c r="S136" s="291">
        <v>3390300000000</v>
      </c>
      <c r="T136" s="44">
        <v>9740576000000</v>
      </c>
      <c r="U136" s="299">
        <f t="shared" ref="U136:U142" si="18">S136/T136</f>
        <v>0.34805949874011555</v>
      </c>
    </row>
    <row r="137" spans="2:21" ht="15.95" customHeight="1" x14ac:dyDescent="0.2">
      <c r="B137" s="224" t="str">
        <f>'X2'!B400</f>
        <v>SCMA</v>
      </c>
      <c r="C137" s="224" t="str">
        <f>'X2'!C400</f>
        <v>PT SURYA CITRA MEDIA</v>
      </c>
      <c r="D137" s="43">
        <v>2766</v>
      </c>
      <c r="E137" s="44">
        <v>4453848569000</v>
      </c>
      <c r="F137" s="260">
        <f t="shared" si="14"/>
        <v>6.2103593266554095E-10</v>
      </c>
      <c r="G137" s="268"/>
      <c r="H137" s="270" t="s">
        <v>841</v>
      </c>
      <c r="I137" s="264">
        <v>2480</v>
      </c>
      <c r="J137" s="44">
        <v>298</v>
      </c>
      <c r="K137" s="287">
        <f t="shared" si="15"/>
        <v>8.3221476510067109</v>
      </c>
      <c r="M137" s="270" t="s">
        <v>841</v>
      </c>
      <c r="N137" s="291">
        <v>16273990000</v>
      </c>
      <c r="O137" s="44">
        <f t="shared" si="16"/>
        <v>4453848569000</v>
      </c>
      <c r="P137" s="295">
        <f t="shared" si="17"/>
        <v>3.6539163260447169E-3</v>
      </c>
      <c r="R137" s="270" t="s">
        <v>841</v>
      </c>
      <c r="S137" s="291">
        <v>1029335550000</v>
      </c>
      <c r="T137" s="44">
        <v>5385807878000</v>
      </c>
      <c r="U137" s="299">
        <f t="shared" si="18"/>
        <v>0.19111999041121386</v>
      </c>
    </row>
    <row r="138" spans="2:21" ht="15.95" customHeight="1" x14ac:dyDescent="0.2">
      <c r="B138" s="224" t="str">
        <f>'X2'!B403</f>
        <v>SDPC</v>
      </c>
      <c r="C138" s="224" t="str">
        <f>'X2'!C403</f>
        <v>PT MILLENNIUM PHARMACON INTERNATIONAL</v>
      </c>
      <c r="D138" s="43">
        <v>1032</v>
      </c>
      <c r="E138" s="44">
        <v>2110824973137</v>
      </c>
      <c r="F138" s="260">
        <f t="shared" si="14"/>
        <v>4.8890837143465026E-10</v>
      </c>
      <c r="G138" s="268"/>
      <c r="H138" s="270" t="s">
        <v>843</v>
      </c>
      <c r="I138" s="264">
        <v>110</v>
      </c>
      <c r="J138" s="44">
        <v>166</v>
      </c>
      <c r="K138" s="287">
        <f t="shared" si="15"/>
        <v>0.66265060240963858</v>
      </c>
      <c r="M138" s="270" t="s">
        <v>843</v>
      </c>
      <c r="N138" s="291">
        <v>5958297454</v>
      </c>
      <c r="O138" s="44">
        <f t="shared" si="16"/>
        <v>2110824973137</v>
      </c>
      <c r="P138" s="295">
        <f t="shared" si="17"/>
        <v>2.8227340162387238E-3</v>
      </c>
      <c r="R138" s="270" t="s">
        <v>843</v>
      </c>
      <c r="S138" s="291">
        <v>18197201146</v>
      </c>
      <c r="T138" s="44">
        <v>938005256482</v>
      </c>
      <c r="U138" s="299">
        <f t="shared" si="18"/>
        <v>1.939989250619855E-2</v>
      </c>
    </row>
    <row r="139" spans="2:21" ht="15.95" customHeight="1" x14ac:dyDescent="0.2">
      <c r="B139" s="224" t="str">
        <f>'X2'!B406</f>
        <v>SILO</v>
      </c>
      <c r="C139" s="224" t="str">
        <f>'X2'!C406</f>
        <v>PT SILOAM INTERNATIONAL HOSPITALS</v>
      </c>
      <c r="D139" s="43">
        <v>8247</v>
      </c>
      <c r="E139" s="44">
        <v>5848006000000</v>
      </c>
      <c r="F139" s="260">
        <f t="shared" si="14"/>
        <v>1.410224271315727E-9</v>
      </c>
      <c r="G139" s="268"/>
      <c r="H139" s="270" t="s">
        <v>845</v>
      </c>
      <c r="I139" s="264">
        <v>9575</v>
      </c>
      <c r="J139" s="44">
        <v>3883</v>
      </c>
      <c r="K139" s="287">
        <f t="shared" si="15"/>
        <v>2.4658768993046611</v>
      </c>
      <c r="M139" s="270" t="s">
        <v>845</v>
      </c>
      <c r="N139" s="291">
        <v>51959000000</v>
      </c>
      <c r="O139" s="44">
        <f t="shared" si="16"/>
        <v>5848006000000</v>
      </c>
      <c r="P139" s="295">
        <f t="shared" si="17"/>
        <v>8.884908804813128E-3</v>
      </c>
      <c r="R139" s="270" t="s">
        <v>845</v>
      </c>
      <c r="S139" s="291">
        <v>2631178000000</v>
      </c>
      <c r="T139" s="44">
        <v>7596268000000</v>
      </c>
      <c r="U139" s="299">
        <f t="shared" si="18"/>
        <v>0.34637772127049754</v>
      </c>
    </row>
    <row r="140" spans="2:21" ht="15.95" customHeight="1" x14ac:dyDescent="0.2">
      <c r="B140" s="224" t="str">
        <f>'X2'!B409</f>
        <v>SONA</v>
      </c>
      <c r="C140" s="224" t="str">
        <f>'X2'!C409</f>
        <v>PT SONA TOPAS TOURISM INDUSTRY</v>
      </c>
      <c r="D140" s="43">
        <v>1386</v>
      </c>
      <c r="E140" s="44">
        <v>1582767220537</v>
      </c>
      <c r="F140" s="260">
        <f t="shared" si="14"/>
        <v>8.7568151653390889E-10</v>
      </c>
      <c r="G140" s="268"/>
      <c r="H140" s="270" t="s">
        <v>850</v>
      </c>
      <c r="I140" s="264">
        <v>2300</v>
      </c>
      <c r="J140" s="44">
        <v>1923</v>
      </c>
      <c r="K140" s="287">
        <f t="shared" si="15"/>
        <v>1.1960478419136766</v>
      </c>
      <c r="M140" s="270" t="s">
        <v>850</v>
      </c>
      <c r="N140" s="291">
        <v>5324246847</v>
      </c>
      <c r="O140" s="44">
        <f t="shared" si="16"/>
        <v>1582767220537</v>
      </c>
      <c r="P140" s="295">
        <f t="shared" si="17"/>
        <v>3.3638849591499588E-3</v>
      </c>
      <c r="R140" s="270" t="s">
        <v>850</v>
      </c>
      <c r="S140" s="291">
        <v>205836726281</v>
      </c>
      <c r="T140" s="44">
        <v>1141551052237</v>
      </c>
      <c r="U140" s="299">
        <f t="shared" si="18"/>
        <v>0.18031320270577419</v>
      </c>
    </row>
    <row r="141" spans="2:21" ht="15.95" customHeight="1" x14ac:dyDescent="0.2">
      <c r="B141" s="224" t="str">
        <f>'X2'!B412</f>
        <v>TRIO</v>
      </c>
      <c r="C141" s="224" t="str">
        <f>'X2'!C412</f>
        <v>TRIKOMSEL OKE</v>
      </c>
      <c r="D141" s="43">
        <v>141</v>
      </c>
      <c r="E141" s="44">
        <v>2028659770454</v>
      </c>
      <c r="F141" s="260">
        <f t="shared" si="14"/>
        <v>6.9504015435986677E-11</v>
      </c>
      <c r="G141" s="268"/>
      <c r="H141" s="270" t="s">
        <v>857</v>
      </c>
      <c r="I141" s="264">
        <v>2000</v>
      </c>
      <c r="J141" s="44">
        <v>-137</v>
      </c>
      <c r="K141" s="287">
        <f t="shared" si="15"/>
        <v>-14.598540145985401</v>
      </c>
      <c r="M141" s="270" t="s">
        <v>857</v>
      </c>
      <c r="N141" s="291">
        <v>1961847456</v>
      </c>
      <c r="O141" s="44">
        <f t="shared" si="16"/>
        <v>2028659770454</v>
      </c>
      <c r="P141" s="295">
        <f t="shared" si="17"/>
        <v>9.6706578627571058E-4</v>
      </c>
      <c r="R141" s="270" t="s">
        <v>857</v>
      </c>
      <c r="S141" s="291">
        <v>48984347751</v>
      </c>
      <c r="T141" s="44">
        <v>266119940193</v>
      </c>
      <c r="U141" s="299">
        <f t="shared" si="18"/>
        <v>0.18406868615510263</v>
      </c>
    </row>
    <row r="142" spans="2:21" ht="15.95" customHeight="1" x14ac:dyDescent="0.2">
      <c r="B142" s="271" t="str">
        <f>'X2'!B415</f>
        <v>UNTR</v>
      </c>
      <c r="C142" s="271" t="str">
        <f>'X2'!C415</f>
        <v>UNITED TRACTORS</v>
      </c>
      <c r="D142" s="156">
        <v>29521</v>
      </c>
      <c r="E142" s="69">
        <v>64559204000000</v>
      </c>
      <c r="F142" s="272">
        <f t="shared" si="14"/>
        <v>4.5727019806501954E-10</v>
      </c>
      <c r="G142" s="268"/>
      <c r="H142" s="270" t="s">
        <v>860</v>
      </c>
      <c r="I142" s="273">
        <v>35400</v>
      </c>
      <c r="J142" s="69">
        <v>12744</v>
      </c>
      <c r="K142" s="288">
        <f t="shared" si="15"/>
        <v>2.7777777777777777</v>
      </c>
      <c r="M142" s="270" t="s">
        <v>860</v>
      </c>
      <c r="N142" s="292">
        <v>43237000000</v>
      </c>
      <c r="O142" s="69">
        <f t="shared" si="16"/>
        <v>64559204000000</v>
      </c>
      <c r="P142" s="295">
        <f t="shared" si="17"/>
        <v>6.6972634916626301E-4</v>
      </c>
      <c r="R142" s="270" t="s">
        <v>860</v>
      </c>
      <c r="S142" s="292">
        <v>16374852000000</v>
      </c>
      <c r="T142" s="69">
        <v>82262093000000</v>
      </c>
      <c r="U142" s="299">
        <f t="shared" si="18"/>
        <v>0.19905707966851754</v>
      </c>
    </row>
    <row r="143" spans="2:21" s="277" customFormat="1" ht="15.95" customHeight="1" x14ac:dyDescent="0.2">
      <c r="D143" s="278"/>
      <c r="E143" s="279"/>
      <c r="F143" s="280"/>
      <c r="G143" s="280"/>
      <c r="H143" s="280"/>
      <c r="I143" s="281"/>
      <c r="J143" s="279"/>
      <c r="K143" s="279"/>
      <c r="L143" s="266"/>
      <c r="M143" s="280"/>
      <c r="N143" s="279"/>
      <c r="O143" s="279"/>
      <c r="Q143" s="274"/>
      <c r="R143" s="280"/>
      <c r="S143" s="279"/>
      <c r="T143" s="279"/>
    </row>
    <row r="144" spans="2:21" s="274" customFormat="1" ht="15.95" customHeight="1" x14ac:dyDescent="0.2">
      <c r="D144" s="275"/>
      <c r="E144" s="266"/>
      <c r="F144" s="280">
        <f>_xlfn.QUARTILE.EXC(F$8:F$142,1)</f>
        <v>2.2829841191388206E-10</v>
      </c>
      <c r="G144" s="258"/>
      <c r="H144" s="266"/>
      <c r="I144" s="276"/>
      <c r="J144" s="266"/>
      <c r="K144" s="266"/>
      <c r="L144" s="266"/>
      <c r="M144" s="266"/>
      <c r="N144" s="266"/>
      <c r="O144" s="266"/>
      <c r="R144" s="266"/>
      <c r="S144" s="266"/>
      <c r="T144" s="266"/>
    </row>
    <row r="145" spans="2:22" s="274" customFormat="1" ht="15.95" customHeight="1" x14ac:dyDescent="0.2">
      <c r="D145" s="275"/>
      <c r="E145" s="266"/>
      <c r="F145" s="280">
        <f>_xlfn.QUARTILE.EXC(F$8:F$142,2)</f>
        <v>4.7547314806802412E-10</v>
      </c>
      <c r="G145" s="258"/>
      <c r="H145" s="266"/>
      <c r="I145" s="276"/>
      <c r="J145" s="266"/>
      <c r="K145" s="266"/>
      <c r="L145" s="266"/>
      <c r="M145" s="266"/>
      <c r="N145" s="266"/>
      <c r="O145" s="266"/>
      <c r="R145" s="266"/>
      <c r="S145" s="266"/>
      <c r="T145" s="266"/>
    </row>
    <row r="146" spans="2:22" s="274" customFormat="1" ht="15.95" customHeight="1" x14ac:dyDescent="0.2">
      <c r="D146" s="275"/>
      <c r="E146" s="266"/>
      <c r="F146" s="280">
        <f>_xlfn.QUARTILE.EXC(F$8:F$142,3)</f>
        <v>1.0538819223684009E-9</v>
      </c>
      <c r="G146" s="258"/>
      <c r="H146" s="266"/>
      <c r="I146" s="276"/>
      <c r="J146" s="266"/>
      <c r="K146" s="266"/>
      <c r="L146" s="266"/>
      <c r="M146" s="266"/>
      <c r="N146" s="266"/>
      <c r="O146" s="266"/>
      <c r="R146" s="266"/>
      <c r="S146" s="266"/>
      <c r="T146" s="266"/>
    </row>
    <row r="147" spans="2:22" s="274" customFormat="1" ht="15.95" customHeight="1" x14ac:dyDescent="0.2">
      <c r="D147" s="275"/>
      <c r="E147" s="266"/>
      <c r="F147" s="266"/>
      <c r="G147" s="266"/>
      <c r="H147" s="266"/>
      <c r="I147" s="276"/>
      <c r="J147" s="266"/>
      <c r="K147" s="266"/>
      <c r="L147" s="266"/>
      <c r="M147" s="266"/>
      <c r="N147" s="266"/>
      <c r="O147" s="266"/>
      <c r="R147" s="266"/>
      <c r="S147" s="266"/>
      <c r="T147" s="266"/>
    </row>
    <row r="148" spans="2:22" s="274" customFormat="1" ht="15.95" customHeight="1" x14ac:dyDescent="0.2">
      <c r="D148" s="275"/>
      <c r="E148" s="266"/>
      <c r="F148" s="266"/>
      <c r="G148" s="266"/>
      <c r="H148" s="266"/>
      <c r="I148" s="276"/>
      <c r="J148" s="266"/>
      <c r="K148" s="266"/>
      <c r="L148" s="266"/>
      <c r="M148" s="266"/>
      <c r="N148" s="266"/>
      <c r="O148" s="266"/>
      <c r="R148" s="266"/>
      <c r="S148" s="266"/>
      <c r="T148" s="266"/>
    </row>
    <row r="149" spans="2:22" s="274" customFormat="1" ht="15.95" customHeight="1" x14ac:dyDescent="0.2">
      <c r="D149" s="275"/>
      <c r="E149" s="266"/>
      <c r="F149" s="266"/>
      <c r="G149" s="266"/>
      <c r="H149" s="266"/>
      <c r="I149" s="276"/>
      <c r="J149" s="266"/>
      <c r="K149" s="266"/>
      <c r="L149" s="266"/>
      <c r="M149" s="266"/>
      <c r="N149" s="266"/>
      <c r="O149" s="266"/>
      <c r="R149" s="266"/>
      <c r="S149" s="266"/>
      <c r="T149" s="266"/>
    </row>
    <row r="150" spans="2:22" s="274" customFormat="1" ht="15.95" customHeight="1" x14ac:dyDescent="0.2">
      <c r="D150" s="275"/>
      <c r="E150" s="266"/>
      <c r="F150" s="266"/>
      <c r="G150" s="266"/>
      <c r="H150" s="266"/>
      <c r="I150" s="276"/>
      <c r="J150" s="266"/>
      <c r="K150" s="266"/>
      <c r="L150" s="266"/>
      <c r="M150" s="266"/>
      <c r="N150" s="266"/>
      <c r="O150" s="266"/>
      <c r="R150" s="266"/>
      <c r="S150" s="266"/>
      <c r="T150" s="266"/>
    </row>
    <row r="151" spans="2:22" s="274" customFormat="1" ht="15.95" customHeight="1" x14ac:dyDescent="0.2">
      <c r="D151" s="275"/>
      <c r="E151" s="266"/>
      <c r="F151" s="266"/>
      <c r="G151" s="266"/>
      <c r="H151" s="266"/>
      <c r="I151" s="276"/>
      <c r="J151" s="266"/>
      <c r="K151" s="266"/>
      <c r="L151" s="266"/>
      <c r="M151" s="266"/>
      <c r="N151" s="266"/>
      <c r="O151" s="266"/>
      <c r="R151" s="266"/>
      <c r="S151" s="266"/>
      <c r="T151" s="266"/>
    </row>
    <row r="152" spans="2:22" s="274" customFormat="1" ht="15.95" customHeight="1" x14ac:dyDescent="0.2">
      <c r="D152" s="275"/>
      <c r="E152" s="266"/>
      <c r="F152" s="266"/>
      <c r="G152" s="266"/>
      <c r="H152" s="266"/>
      <c r="I152" s="276"/>
      <c r="J152" s="266"/>
      <c r="K152" s="266"/>
      <c r="L152" s="266"/>
      <c r="M152" s="266"/>
      <c r="N152" s="266"/>
      <c r="O152" s="266"/>
      <c r="R152" s="266"/>
      <c r="S152" s="266"/>
      <c r="T152" s="266"/>
    </row>
    <row r="153" spans="2:22" ht="15.95" customHeight="1" x14ac:dyDescent="0.2">
      <c r="B153" s="274"/>
      <c r="C153" s="274"/>
      <c r="D153" s="275"/>
      <c r="E153" s="266"/>
      <c r="F153" s="266"/>
      <c r="G153" s="266"/>
      <c r="H153" s="266"/>
      <c r="I153" s="276"/>
      <c r="J153" s="266"/>
      <c r="K153" s="266"/>
      <c r="M153" s="266"/>
      <c r="N153" s="266"/>
      <c r="O153" s="266"/>
      <c r="P153" s="274"/>
      <c r="R153" s="266"/>
      <c r="S153" s="266"/>
      <c r="T153" s="266"/>
      <c r="U153" s="274"/>
      <c r="V153" s="274"/>
    </row>
    <row r="154" spans="2:22" ht="15.95" customHeight="1" x14ac:dyDescent="0.2">
      <c r="B154" s="274"/>
      <c r="C154" s="274"/>
      <c r="D154" s="275"/>
      <c r="E154" s="266"/>
      <c r="F154" s="266"/>
      <c r="G154" s="266"/>
      <c r="H154" s="266"/>
      <c r="I154" s="276"/>
      <c r="J154" s="266"/>
      <c r="K154" s="266"/>
      <c r="M154" s="266"/>
      <c r="N154" s="266"/>
      <c r="O154" s="266"/>
      <c r="P154" s="274"/>
      <c r="R154" s="266"/>
      <c r="S154" s="266"/>
      <c r="T154" s="266"/>
      <c r="U154" s="274"/>
      <c r="V154" s="274"/>
    </row>
    <row r="155" spans="2:22" ht="15.95" customHeight="1" x14ac:dyDescent="0.2">
      <c r="B155" s="274"/>
      <c r="C155" s="274"/>
      <c r="D155" s="275"/>
      <c r="E155" s="266"/>
      <c r="F155" s="266"/>
      <c r="G155" s="266"/>
      <c r="H155" s="266"/>
      <c r="I155" s="276"/>
      <c r="J155" s="266"/>
      <c r="K155" s="266"/>
      <c r="M155" s="266"/>
      <c r="N155" s="266"/>
      <c r="O155" s="266"/>
      <c r="P155" s="274"/>
      <c r="R155" s="266"/>
      <c r="S155" s="266"/>
      <c r="T155" s="266"/>
      <c r="U155" s="274"/>
      <c r="V155" s="274"/>
    </row>
    <row r="156" spans="2:22" ht="15.95" customHeight="1" x14ac:dyDescent="0.2">
      <c r="B156" s="274"/>
      <c r="C156" s="274"/>
      <c r="D156" s="275"/>
      <c r="E156" s="266"/>
      <c r="F156" s="266"/>
      <c r="G156" s="266"/>
      <c r="H156" s="266"/>
      <c r="I156" s="276"/>
      <c r="J156" s="266"/>
      <c r="K156" s="266"/>
      <c r="M156" s="266"/>
      <c r="N156" s="266"/>
      <c r="O156" s="266"/>
      <c r="P156" s="274"/>
      <c r="R156" s="266"/>
      <c r="S156" s="266"/>
      <c r="T156" s="266"/>
      <c r="U156" s="274"/>
      <c r="V156" s="274"/>
    </row>
    <row r="157" spans="2:22" ht="15.95" customHeight="1" x14ac:dyDescent="0.2">
      <c r="B157" s="274"/>
      <c r="C157" s="274"/>
      <c r="D157" s="275"/>
      <c r="E157" s="266"/>
      <c r="F157" s="266"/>
      <c r="G157" s="266"/>
      <c r="H157" s="266"/>
      <c r="I157" s="276"/>
      <c r="J157" s="266"/>
      <c r="K157" s="266"/>
      <c r="M157" s="266"/>
      <c r="N157" s="266"/>
      <c r="O157" s="266"/>
      <c r="P157" s="274"/>
      <c r="R157" s="266"/>
      <c r="S157" s="266"/>
      <c r="T157" s="266"/>
      <c r="U157" s="274"/>
      <c r="V157" s="274"/>
    </row>
    <row r="158" spans="2:22" ht="15.95" customHeight="1" x14ac:dyDescent="0.2">
      <c r="B158" s="274"/>
      <c r="C158" s="274"/>
      <c r="D158" s="275"/>
      <c r="E158" s="266"/>
      <c r="F158" s="266"/>
      <c r="G158" s="266"/>
      <c r="H158" s="266"/>
      <c r="I158" s="276"/>
      <c r="J158" s="266"/>
      <c r="K158" s="266"/>
      <c r="M158" s="266"/>
      <c r="N158" s="266"/>
      <c r="O158" s="266"/>
      <c r="P158" s="274"/>
      <c r="R158" s="266"/>
      <c r="S158" s="266"/>
      <c r="T158" s="266"/>
      <c r="U158" s="274"/>
      <c r="V158" s="274"/>
    </row>
    <row r="159" spans="2:22" ht="15.95" customHeight="1" x14ac:dyDescent="0.2">
      <c r="B159" s="274"/>
      <c r="C159" s="274"/>
      <c r="D159" s="275"/>
      <c r="E159" s="266"/>
      <c r="F159" s="266"/>
      <c r="G159" s="266"/>
      <c r="H159" s="266"/>
      <c r="I159" s="276"/>
      <c r="J159" s="266"/>
      <c r="K159" s="266"/>
      <c r="M159" s="266"/>
      <c r="N159" s="266"/>
      <c r="O159" s="266"/>
      <c r="P159" s="274"/>
      <c r="R159" s="266"/>
      <c r="S159" s="266"/>
      <c r="T159" s="266"/>
      <c r="U159" s="274"/>
      <c r="V159" s="274"/>
    </row>
    <row r="160" spans="2:22" ht="15.95" customHeight="1" x14ac:dyDescent="0.2">
      <c r="B160" s="274"/>
      <c r="C160" s="274"/>
      <c r="D160" s="275"/>
      <c r="E160" s="266"/>
      <c r="F160" s="266"/>
      <c r="G160" s="266"/>
      <c r="H160" s="266"/>
      <c r="I160" s="276"/>
      <c r="J160" s="266"/>
      <c r="K160" s="266"/>
      <c r="M160" s="266"/>
      <c r="N160" s="266"/>
      <c r="O160" s="266"/>
      <c r="P160" s="274"/>
      <c r="R160" s="266"/>
      <c r="S160" s="266"/>
      <c r="T160" s="266"/>
      <c r="U160" s="274"/>
      <c r="V160" s="274"/>
    </row>
    <row r="161" spans="2:22" ht="15.95" customHeight="1" x14ac:dyDescent="0.2">
      <c r="B161" s="274"/>
      <c r="C161" s="274"/>
      <c r="D161" s="275"/>
      <c r="E161" s="266"/>
      <c r="F161" s="266"/>
      <c r="G161" s="266"/>
      <c r="H161" s="266"/>
      <c r="I161" s="276"/>
      <c r="J161" s="266"/>
      <c r="K161" s="266"/>
      <c r="M161" s="266"/>
      <c r="N161" s="266"/>
      <c r="O161" s="266"/>
      <c r="P161" s="274"/>
      <c r="R161" s="266"/>
      <c r="S161" s="266"/>
      <c r="T161" s="266"/>
      <c r="U161" s="274"/>
      <c r="V161" s="274"/>
    </row>
    <row r="162" spans="2:22" ht="15.95" customHeight="1" x14ac:dyDescent="0.2">
      <c r="B162" s="274"/>
      <c r="C162" s="274"/>
      <c r="D162" s="275"/>
      <c r="E162" s="266"/>
      <c r="F162" s="266"/>
      <c r="G162" s="266"/>
      <c r="H162" s="266"/>
      <c r="I162" s="276"/>
      <c r="J162" s="266"/>
      <c r="K162" s="266"/>
      <c r="M162" s="266"/>
      <c r="N162" s="266"/>
      <c r="O162" s="266"/>
      <c r="P162" s="274"/>
      <c r="R162" s="266"/>
      <c r="S162" s="266"/>
      <c r="T162" s="266"/>
      <c r="U162" s="274"/>
      <c r="V162" s="274"/>
    </row>
    <row r="163" spans="2:22" ht="15.95" customHeight="1" x14ac:dyDescent="0.2">
      <c r="B163" s="274"/>
      <c r="C163" s="274"/>
      <c r="D163" s="275"/>
      <c r="E163" s="266"/>
      <c r="F163" s="266"/>
      <c r="G163" s="266"/>
      <c r="H163" s="266"/>
      <c r="I163" s="276"/>
      <c r="J163" s="266"/>
      <c r="K163" s="266"/>
      <c r="M163" s="266"/>
      <c r="N163" s="266"/>
      <c r="O163" s="266"/>
      <c r="P163" s="274"/>
      <c r="R163" s="266"/>
      <c r="S163" s="266"/>
      <c r="T163" s="266"/>
      <c r="U163" s="274"/>
      <c r="V163" s="274"/>
    </row>
    <row r="164" spans="2:22" ht="15.95" customHeight="1" x14ac:dyDescent="0.2">
      <c r="B164" s="274"/>
      <c r="C164" s="274"/>
      <c r="D164" s="275"/>
      <c r="E164" s="266"/>
      <c r="F164" s="266"/>
      <c r="G164" s="266"/>
      <c r="H164" s="266"/>
      <c r="I164" s="276"/>
      <c r="J164" s="266"/>
      <c r="K164" s="266"/>
      <c r="M164" s="266"/>
      <c r="N164" s="266"/>
      <c r="O164" s="266"/>
      <c r="P164" s="274"/>
      <c r="R164" s="266"/>
      <c r="S164" s="266"/>
      <c r="T164" s="266"/>
      <c r="U164" s="274"/>
      <c r="V164" s="274"/>
    </row>
    <row r="165" spans="2:22" ht="15.95" customHeight="1" x14ac:dyDescent="0.2">
      <c r="B165" s="274"/>
      <c r="C165" s="274"/>
      <c r="D165" s="275"/>
      <c r="E165" s="266"/>
      <c r="F165" s="266"/>
      <c r="G165" s="266"/>
      <c r="H165" s="266"/>
      <c r="I165" s="276"/>
      <c r="J165" s="266"/>
      <c r="K165" s="266"/>
      <c r="M165" s="266"/>
      <c r="N165" s="266"/>
      <c r="O165" s="266"/>
      <c r="P165" s="274"/>
      <c r="R165" s="266"/>
      <c r="S165" s="266"/>
      <c r="T165" s="266"/>
      <c r="U165" s="274"/>
      <c r="V165" s="274"/>
    </row>
    <row r="166" spans="2:22" ht="15.95" customHeight="1" x14ac:dyDescent="0.2">
      <c r="B166" s="274"/>
      <c r="C166" s="274"/>
      <c r="D166" s="275"/>
      <c r="E166" s="266"/>
      <c r="F166" s="266"/>
      <c r="G166" s="266"/>
      <c r="H166" s="266"/>
      <c r="I166" s="276"/>
      <c r="J166" s="266"/>
      <c r="K166" s="266"/>
      <c r="M166" s="266"/>
      <c r="N166" s="266"/>
      <c r="O166" s="266"/>
      <c r="P166" s="274"/>
      <c r="R166" s="266"/>
      <c r="S166" s="266"/>
      <c r="T166" s="266"/>
      <c r="U166" s="274"/>
      <c r="V166" s="274"/>
    </row>
    <row r="167" spans="2:22" ht="15.95" customHeight="1" x14ac:dyDescent="0.2">
      <c r="B167" s="274"/>
      <c r="C167" s="274"/>
      <c r="D167" s="275"/>
      <c r="E167" s="266"/>
      <c r="F167" s="266"/>
      <c r="G167" s="266"/>
      <c r="H167" s="266"/>
      <c r="I167" s="276"/>
      <c r="J167" s="266"/>
      <c r="K167" s="266"/>
      <c r="M167" s="266"/>
      <c r="N167" s="266"/>
      <c r="O167" s="266"/>
      <c r="P167" s="274"/>
      <c r="R167" s="266"/>
      <c r="S167" s="266"/>
      <c r="T167" s="266"/>
      <c r="U167" s="274"/>
      <c r="V167" s="274"/>
    </row>
    <row r="168" spans="2:22" ht="15.95" customHeight="1" x14ac:dyDescent="0.2">
      <c r="B168" s="274"/>
      <c r="C168" s="274"/>
      <c r="D168" s="275"/>
      <c r="E168" s="266"/>
      <c r="F168" s="266"/>
      <c r="G168" s="266"/>
      <c r="H168" s="266"/>
      <c r="I168" s="276"/>
      <c r="J168" s="266"/>
      <c r="K168" s="266"/>
      <c r="M168" s="266"/>
      <c r="N168" s="266"/>
      <c r="O168" s="266"/>
      <c r="P168" s="274"/>
      <c r="R168" s="266"/>
      <c r="S168" s="266"/>
      <c r="T168" s="266"/>
      <c r="U168" s="274"/>
      <c r="V168" s="274"/>
    </row>
    <row r="169" spans="2:22" ht="15.95" customHeight="1" x14ac:dyDescent="0.2">
      <c r="B169" s="274"/>
      <c r="C169" s="274"/>
      <c r="D169" s="275"/>
      <c r="E169" s="266"/>
      <c r="F169" s="266"/>
      <c r="G169" s="266"/>
      <c r="H169" s="266"/>
      <c r="I169" s="276"/>
      <c r="J169" s="266"/>
      <c r="K169" s="266"/>
      <c r="M169" s="266"/>
      <c r="N169" s="266"/>
      <c r="O169" s="266"/>
      <c r="P169" s="274"/>
      <c r="R169" s="266"/>
      <c r="S169" s="266"/>
      <c r="T169" s="266"/>
      <c r="U169" s="274"/>
      <c r="V169" s="274"/>
    </row>
    <row r="170" spans="2:22" ht="15.95" customHeight="1" x14ac:dyDescent="0.2">
      <c r="B170" s="274"/>
      <c r="C170" s="274"/>
      <c r="D170" s="275"/>
      <c r="E170" s="266"/>
      <c r="F170" s="266"/>
      <c r="G170" s="266"/>
      <c r="H170" s="266"/>
      <c r="I170" s="276"/>
      <c r="J170" s="266"/>
      <c r="K170" s="266"/>
      <c r="M170" s="266"/>
      <c r="N170" s="266"/>
      <c r="O170" s="266"/>
      <c r="P170" s="274"/>
      <c r="R170" s="266"/>
      <c r="S170" s="266"/>
      <c r="T170" s="266"/>
      <c r="U170" s="274"/>
      <c r="V170" s="274"/>
    </row>
    <row r="171" spans="2:22" ht="15.95" customHeight="1" x14ac:dyDescent="0.2">
      <c r="B171" s="274"/>
      <c r="C171" s="274"/>
      <c r="D171" s="275"/>
      <c r="E171" s="266"/>
      <c r="F171" s="266"/>
      <c r="G171" s="266"/>
      <c r="H171" s="266"/>
      <c r="I171" s="276"/>
      <c r="J171" s="266"/>
      <c r="K171" s="266"/>
      <c r="M171" s="266"/>
      <c r="N171" s="266"/>
      <c r="O171" s="266"/>
      <c r="P171" s="274"/>
      <c r="R171" s="266"/>
      <c r="S171" s="266"/>
      <c r="T171" s="266"/>
      <c r="U171" s="274"/>
      <c r="V171" s="274"/>
    </row>
    <row r="172" spans="2:22" ht="15.95" customHeight="1" x14ac:dyDescent="0.2">
      <c r="B172" s="274"/>
      <c r="C172" s="274"/>
      <c r="D172" s="275"/>
      <c r="E172" s="266"/>
      <c r="F172" s="266"/>
      <c r="G172" s="266"/>
      <c r="H172" s="266"/>
      <c r="I172" s="276"/>
      <c r="J172" s="266"/>
      <c r="K172" s="266"/>
      <c r="M172" s="266"/>
      <c r="N172" s="266"/>
      <c r="O172" s="266"/>
      <c r="P172" s="274"/>
      <c r="R172" s="266"/>
      <c r="S172" s="266"/>
      <c r="T172" s="266"/>
      <c r="U172" s="274"/>
      <c r="V172" s="274"/>
    </row>
    <row r="173" spans="2:22" ht="15.95" customHeight="1" x14ac:dyDescent="0.2">
      <c r="B173" s="274"/>
      <c r="C173" s="274"/>
      <c r="D173" s="275"/>
      <c r="E173" s="266"/>
      <c r="F173" s="266"/>
      <c r="G173" s="266"/>
      <c r="H173" s="266"/>
      <c r="I173" s="276"/>
      <c r="J173" s="266"/>
      <c r="K173" s="266"/>
      <c r="M173" s="266"/>
      <c r="N173" s="266"/>
      <c r="O173" s="266"/>
      <c r="P173" s="274"/>
      <c r="R173" s="266"/>
      <c r="S173" s="266"/>
      <c r="T173" s="266"/>
      <c r="U173" s="274"/>
      <c r="V173" s="274"/>
    </row>
    <row r="174" spans="2:22" ht="15.95" customHeight="1" x14ac:dyDescent="0.2">
      <c r="B174" s="274"/>
      <c r="C174" s="274"/>
      <c r="D174" s="275"/>
      <c r="E174" s="266"/>
      <c r="F174" s="266"/>
      <c r="G174" s="266"/>
      <c r="H174" s="266"/>
      <c r="I174" s="276"/>
      <c r="J174" s="266"/>
      <c r="K174" s="266"/>
      <c r="M174" s="266"/>
      <c r="N174" s="266"/>
      <c r="O174" s="266"/>
      <c r="P174" s="274"/>
      <c r="R174" s="266"/>
      <c r="S174" s="266"/>
      <c r="T174" s="266"/>
      <c r="U174" s="274"/>
      <c r="V174" s="274"/>
    </row>
    <row r="175" spans="2:22" ht="15.95" customHeight="1" x14ac:dyDescent="0.2">
      <c r="B175" s="274"/>
      <c r="C175" s="274"/>
      <c r="D175" s="275"/>
      <c r="E175" s="266"/>
      <c r="F175" s="266"/>
      <c r="G175" s="266"/>
      <c r="H175" s="266"/>
      <c r="I175" s="276"/>
      <c r="J175" s="266"/>
      <c r="K175" s="266"/>
      <c r="M175" s="266"/>
      <c r="N175" s="266"/>
      <c r="O175" s="266"/>
      <c r="P175" s="274"/>
      <c r="R175" s="266"/>
      <c r="S175" s="266"/>
      <c r="T175" s="266"/>
      <c r="U175" s="274"/>
      <c r="V175" s="274"/>
    </row>
    <row r="176" spans="2:22" ht="15.95" customHeight="1" x14ac:dyDescent="0.2">
      <c r="B176" s="274"/>
      <c r="C176" s="274"/>
      <c r="D176" s="275"/>
      <c r="E176" s="266"/>
      <c r="F176" s="266"/>
      <c r="G176" s="266"/>
      <c r="H176" s="266"/>
      <c r="I176" s="276"/>
      <c r="J176" s="266"/>
      <c r="K176" s="266"/>
      <c r="M176" s="266"/>
      <c r="N176" s="266"/>
      <c r="O176" s="266"/>
      <c r="P176" s="274"/>
      <c r="R176" s="266"/>
      <c r="S176" s="266"/>
      <c r="T176" s="266"/>
      <c r="U176" s="274"/>
      <c r="V176" s="274"/>
    </row>
    <row r="177" spans="2:22" ht="15.95" customHeight="1" x14ac:dyDescent="0.2">
      <c r="B177" s="274"/>
      <c r="C177" s="274"/>
      <c r="D177" s="275"/>
      <c r="E177" s="266"/>
      <c r="F177" s="266"/>
      <c r="G177" s="266"/>
      <c r="H177" s="266"/>
      <c r="I177" s="276"/>
      <c r="J177" s="266"/>
      <c r="K177" s="266"/>
      <c r="M177" s="266"/>
      <c r="N177" s="266"/>
      <c r="O177" s="266"/>
      <c r="P177" s="274"/>
      <c r="R177" s="266"/>
      <c r="S177" s="266"/>
      <c r="T177" s="266"/>
      <c r="U177" s="274"/>
      <c r="V177" s="274"/>
    </row>
    <row r="178" spans="2:22" ht="15.95" customHeight="1" x14ac:dyDescent="0.2">
      <c r="B178" s="274"/>
      <c r="C178" s="274"/>
      <c r="D178" s="275"/>
      <c r="E178" s="266"/>
      <c r="F178" s="266"/>
      <c r="G178" s="266"/>
      <c r="H178" s="266"/>
      <c r="I178" s="276"/>
      <c r="J178" s="266"/>
      <c r="K178" s="266"/>
      <c r="M178" s="266"/>
      <c r="N178" s="266"/>
      <c r="O178" s="266"/>
      <c r="P178" s="274"/>
      <c r="R178" s="266"/>
      <c r="S178" s="266"/>
      <c r="T178" s="266"/>
      <c r="U178" s="274"/>
      <c r="V178" s="274"/>
    </row>
    <row r="179" spans="2:22" ht="15.95" customHeight="1" x14ac:dyDescent="0.2">
      <c r="B179" s="274"/>
      <c r="C179" s="274"/>
      <c r="D179" s="275"/>
      <c r="E179" s="266"/>
      <c r="F179" s="266"/>
      <c r="G179" s="266"/>
      <c r="H179" s="266"/>
      <c r="I179" s="276"/>
      <c r="J179" s="266"/>
      <c r="K179" s="266"/>
      <c r="M179" s="266"/>
      <c r="N179" s="266"/>
      <c r="O179" s="266"/>
      <c r="P179" s="274"/>
      <c r="R179" s="266"/>
      <c r="S179" s="266"/>
      <c r="T179" s="266"/>
      <c r="U179" s="274"/>
      <c r="V179" s="274"/>
    </row>
    <row r="180" spans="2:22" ht="15.95" customHeight="1" x14ac:dyDescent="0.2">
      <c r="B180" s="274"/>
      <c r="C180" s="274"/>
      <c r="D180" s="275"/>
      <c r="E180" s="266"/>
      <c r="F180" s="266"/>
      <c r="G180" s="266"/>
      <c r="H180" s="266"/>
      <c r="I180" s="276"/>
      <c r="J180" s="266"/>
      <c r="K180" s="266"/>
      <c r="M180" s="266"/>
      <c r="N180" s="266"/>
      <c r="O180" s="266"/>
      <c r="P180" s="274"/>
      <c r="R180" s="266"/>
      <c r="S180" s="266"/>
      <c r="T180" s="266"/>
      <c r="U180" s="274"/>
      <c r="V180" s="274"/>
    </row>
    <row r="181" spans="2:22" ht="15.95" customHeight="1" x14ac:dyDescent="0.2">
      <c r="B181" s="274"/>
      <c r="C181" s="274"/>
      <c r="D181" s="275"/>
      <c r="E181" s="266"/>
      <c r="F181" s="266"/>
      <c r="G181" s="266"/>
      <c r="H181" s="266"/>
      <c r="I181" s="276"/>
      <c r="J181" s="266"/>
      <c r="K181" s="266"/>
      <c r="M181" s="266"/>
      <c r="N181" s="266"/>
      <c r="O181" s="266"/>
      <c r="P181" s="274"/>
      <c r="R181" s="266"/>
      <c r="S181" s="266"/>
      <c r="T181" s="266"/>
      <c r="U181" s="274"/>
      <c r="V181" s="274"/>
    </row>
    <row r="182" spans="2:22" ht="15.95" customHeight="1" x14ac:dyDescent="0.2">
      <c r="B182" s="274"/>
      <c r="C182" s="274"/>
      <c r="D182" s="275"/>
      <c r="E182" s="266"/>
      <c r="F182" s="266"/>
      <c r="G182" s="266"/>
      <c r="H182" s="266"/>
      <c r="I182" s="276"/>
      <c r="J182" s="266"/>
      <c r="K182" s="266"/>
      <c r="M182" s="266"/>
      <c r="N182" s="266"/>
      <c r="O182" s="266"/>
      <c r="P182" s="274"/>
      <c r="R182" s="266"/>
      <c r="S182" s="266"/>
      <c r="T182" s="266"/>
      <c r="U182" s="274"/>
      <c r="V182" s="274"/>
    </row>
    <row r="183" spans="2:22" ht="15.95" customHeight="1" x14ac:dyDescent="0.2">
      <c r="B183" s="274"/>
      <c r="C183" s="274"/>
      <c r="D183" s="275"/>
      <c r="E183" s="266"/>
      <c r="F183" s="266"/>
      <c r="G183" s="266"/>
      <c r="H183" s="266"/>
      <c r="I183" s="276"/>
      <c r="J183" s="266"/>
      <c r="K183" s="266"/>
      <c r="M183" s="266"/>
      <c r="N183" s="266"/>
      <c r="O183" s="266"/>
      <c r="P183" s="274"/>
      <c r="R183" s="266"/>
      <c r="S183" s="266"/>
      <c r="T183" s="266"/>
      <c r="U183" s="274"/>
      <c r="V183" s="274"/>
    </row>
    <row r="184" spans="2:22" ht="15.95" customHeight="1" x14ac:dyDescent="0.2">
      <c r="B184" s="274"/>
      <c r="C184" s="274"/>
      <c r="D184" s="275"/>
      <c r="E184" s="266"/>
      <c r="F184" s="266"/>
      <c r="G184" s="266"/>
      <c r="H184" s="266"/>
      <c r="I184" s="276"/>
      <c r="J184" s="266"/>
      <c r="K184" s="266"/>
      <c r="M184" s="266"/>
      <c r="N184" s="266"/>
      <c r="O184" s="266"/>
      <c r="P184" s="274"/>
      <c r="R184" s="266"/>
      <c r="S184" s="266"/>
      <c r="T184" s="266"/>
      <c r="U184" s="274"/>
      <c r="V184" s="274"/>
    </row>
    <row r="185" spans="2:22" ht="15.95" customHeight="1" x14ac:dyDescent="0.2">
      <c r="B185" s="274"/>
      <c r="C185" s="274"/>
      <c r="D185" s="275"/>
      <c r="E185" s="266"/>
      <c r="F185" s="266"/>
      <c r="G185" s="266"/>
      <c r="H185" s="266"/>
      <c r="I185" s="276"/>
      <c r="J185" s="266"/>
      <c r="K185" s="266"/>
      <c r="M185" s="266"/>
      <c r="N185" s="266"/>
      <c r="O185" s="266"/>
      <c r="P185" s="274"/>
      <c r="R185" s="266"/>
      <c r="S185" s="266"/>
      <c r="T185" s="266"/>
      <c r="U185" s="274"/>
      <c r="V185" s="274"/>
    </row>
    <row r="186" spans="2:22" ht="15.95" customHeight="1" x14ac:dyDescent="0.2">
      <c r="B186" s="274"/>
      <c r="C186" s="274"/>
      <c r="D186" s="275"/>
      <c r="E186" s="266"/>
      <c r="F186" s="266"/>
      <c r="G186" s="266"/>
      <c r="H186" s="266"/>
      <c r="I186" s="276"/>
      <c r="J186" s="266"/>
      <c r="K186" s="266"/>
      <c r="M186" s="266"/>
      <c r="N186" s="266"/>
      <c r="O186" s="266"/>
      <c r="P186" s="274"/>
      <c r="R186" s="266"/>
      <c r="S186" s="266"/>
      <c r="T186" s="266"/>
      <c r="U186" s="274"/>
      <c r="V186" s="274"/>
    </row>
    <row r="187" spans="2:22" ht="15.95" customHeight="1" x14ac:dyDescent="0.2">
      <c r="B187" s="274"/>
      <c r="C187" s="274"/>
      <c r="D187" s="275"/>
      <c r="E187" s="266"/>
      <c r="F187" s="266"/>
      <c r="G187" s="266"/>
      <c r="H187" s="266"/>
      <c r="I187" s="276"/>
      <c r="J187" s="266"/>
      <c r="K187" s="266"/>
      <c r="M187" s="266"/>
      <c r="N187" s="266"/>
      <c r="O187" s="266"/>
      <c r="P187" s="274"/>
      <c r="R187" s="266"/>
      <c r="S187" s="266"/>
      <c r="T187" s="266"/>
      <c r="U187" s="274"/>
      <c r="V187" s="274"/>
    </row>
    <row r="188" spans="2:22" ht="15.95" customHeight="1" x14ac:dyDescent="0.2">
      <c r="B188" s="274"/>
      <c r="C188" s="274"/>
      <c r="D188" s="275"/>
      <c r="E188" s="266"/>
      <c r="F188" s="266"/>
      <c r="G188" s="266"/>
      <c r="H188" s="266"/>
      <c r="I188" s="276"/>
      <c r="J188" s="266"/>
      <c r="K188" s="266"/>
      <c r="M188" s="266"/>
      <c r="N188" s="266"/>
      <c r="O188" s="266"/>
      <c r="P188" s="274"/>
      <c r="R188" s="266"/>
      <c r="S188" s="266"/>
      <c r="T188" s="266"/>
      <c r="U188" s="274"/>
      <c r="V188" s="274"/>
    </row>
    <row r="189" spans="2:22" ht="15.95" customHeight="1" x14ac:dyDescent="0.2">
      <c r="B189" s="274"/>
      <c r="C189" s="274"/>
      <c r="D189" s="275"/>
      <c r="E189" s="266"/>
      <c r="F189" s="266"/>
      <c r="G189" s="266"/>
      <c r="H189" s="266"/>
      <c r="I189" s="276"/>
      <c r="J189" s="266"/>
      <c r="K189" s="266"/>
      <c r="M189" s="266"/>
      <c r="N189" s="266"/>
      <c r="O189" s="266"/>
      <c r="P189" s="274"/>
      <c r="R189" s="266"/>
      <c r="S189" s="266"/>
      <c r="T189" s="266"/>
      <c r="U189" s="274"/>
      <c r="V189" s="274"/>
    </row>
    <row r="190" spans="2:22" ht="15.95" customHeight="1" x14ac:dyDescent="0.2">
      <c r="B190" s="274"/>
      <c r="C190" s="274"/>
      <c r="D190" s="275"/>
      <c r="E190" s="266"/>
      <c r="F190" s="266"/>
      <c r="G190" s="266"/>
      <c r="H190" s="266"/>
      <c r="I190" s="276"/>
      <c r="J190" s="266"/>
      <c r="K190" s="266"/>
      <c r="M190" s="266"/>
      <c r="N190" s="266"/>
      <c r="O190" s="266"/>
      <c r="P190" s="274"/>
      <c r="R190" s="266"/>
      <c r="S190" s="266"/>
      <c r="T190" s="266"/>
      <c r="U190" s="274"/>
      <c r="V190" s="274"/>
    </row>
    <row r="191" spans="2:22" ht="15.95" customHeight="1" x14ac:dyDescent="0.2">
      <c r="B191" s="274"/>
      <c r="C191" s="274"/>
      <c r="D191" s="275"/>
      <c r="E191" s="266"/>
      <c r="F191" s="266"/>
      <c r="G191" s="266"/>
      <c r="H191" s="266"/>
      <c r="I191" s="276"/>
      <c r="J191" s="266"/>
      <c r="K191" s="266"/>
      <c r="M191" s="266"/>
      <c r="N191" s="266"/>
      <c r="O191" s="266"/>
      <c r="P191" s="274"/>
      <c r="R191" s="266"/>
      <c r="S191" s="266"/>
      <c r="T191" s="266"/>
      <c r="U191" s="274"/>
      <c r="V191" s="274"/>
    </row>
    <row r="192" spans="2:22" ht="15.95" customHeight="1" x14ac:dyDescent="0.2">
      <c r="B192" s="274"/>
      <c r="C192" s="274"/>
      <c r="D192" s="275"/>
      <c r="E192" s="266"/>
      <c r="F192" s="266"/>
      <c r="G192" s="266"/>
      <c r="H192" s="266"/>
      <c r="I192" s="276"/>
      <c r="J192" s="266"/>
      <c r="K192" s="266"/>
      <c r="M192" s="266"/>
      <c r="N192" s="266"/>
      <c r="O192" s="266"/>
      <c r="P192" s="274"/>
      <c r="R192" s="266"/>
      <c r="S192" s="266"/>
      <c r="T192" s="266"/>
      <c r="U192" s="274"/>
      <c r="V192" s="274"/>
    </row>
    <row r="193" spans="2:22" ht="15.95" customHeight="1" x14ac:dyDescent="0.2">
      <c r="B193" s="274"/>
      <c r="C193" s="274"/>
      <c r="D193" s="275"/>
      <c r="E193" s="266"/>
      <c r="F193" s="266"/>
      <c r="G193" s="266"/>
      <c r="H193" s="266"/>
      <c r="I193" s="276"/>
      <c r="J193" s="266"/>
      <c r="K193" s="266"/>
      <c r="M193" s="266"/>
      <c r="N193" s="266"/>
      <c r="O193" s="266"/>
      <c r="P193" s="274"/>
      <c r="R193" s="266"/>
      <c r="S193" s="266"/>
      <c r="T193" s="266"/>
      <c r="U193" s="274"/>
      <c r="V193" s="274"/>
    </row>
    <row r="194" spans="2:22" ht="15.95" customHeight="1" x14ac:dyDescent="0.2">
      <c r="B194" s="274"/>
      <c r="C194" s="274"/>
      <c r="D194" s="275"/>
      <c r="E194" s="266"/>
      <c r="F194" s="266"/>
      <c r="G194" s="266"/>
      <c r="H194" s="266"/>
      <c r="I194" s="276"/>
      <c r="J194" s="266"/>
      <c r="K194" s="266"/>
      <c r="M194" s="266"/>
      <c r="N194" s="266"/>
      <c r="O194" s="266"/>
      <c r="P194" s="274"/>
      <c r="R194" s="266"/>
      <c r="S194" s="266"/>
      <c r="T194" s="266"/>
      <c r="U194" s="274"/>
      <c r="V194" s="274"/>
    </row>
    <row r="195" spans="2:22" ht="15.95" customHeight="1" x14ac:dyDescent="0.2">
      <c r="B195" s="274"/>
      <c r="C195" s="274"/>
      <c r="D195" s="275"/>
      <c r="E195" s="266"/>
      <c r="F195" s="266"/>
      <c r="G195" s="266"/>
      <c r="H195" s="266"/>
      <c r="I195" s="276"/>
      <c r="J195" s="266"/>
      <c r="K195" s="266"/>
      <c r="M195" s="266"/>
      <c r="N195" s="266"/>
      <c r="O195" s="266"/>
      <c r="P195" s="274"/>
      <c r="R195" s="266"/>
      <c r="S195" s="266"/>
      <c r="T195" s="266"/>
      <c r="U195" s="274"/>
      <c r="V195" s="274"/>
    </row>
    <row r="196" spans="2:22" ht="15.95" customHeight="1" x14ac:dyDescent="0.2">
      <c r="B196" s="274"/>
      <c r="C196" s="274"/>
      <c r="D196" s="275"/>
      <c r="E196" s="266"/>
      <c r="F196" s="266"/>
      <c r="G196" s="266"/>
      <c r="H196" s="266"/>
      <c r="I196" s="276"/>
      <c r="J196" s="266"/>
      <c r="K196" s="266"/>
      <c r="M196" s="266"/>
      <c r="N196" s="266"/>
      <c r="O196" s="266"/>
      <c r="P196" s="274"/>
      <c r="R196" s="266"/>
      <c r="S196" s="266"/>
      <c r="T196" s="266"/>
      <c r="U196" s="274"/>
      <c r="V196" s="274"/>
    </row>
    <row r="197" spans="2:22" ht="15.95" customHeight="1" x14ac:dyDescent="0.2">
      <c r="B197" s="274"/>
      <c r="C197" s="274"/>
      <c r="D197" s="275"/>
      <c r="E197" s="266"/>
      <c r="F197" s="266"/>
      <c r="G197" s="266"/>
      <c r="H197" s="266"/>
      <c r="I197" s="276"/>
      <c r="J197" s="266"/>
      <c r="K197" s="266"/>
      <c r="M197" s="266"/>
      <c r="N197" s="266"/>
      <c r="O197" s="266"/>
      <c r="P197" s="274"/>
      <c r="R197" s="266"/>
      <c r="S197" s="266"/>
      <c r="T197" s="266"/>
      <c r="U197" s="274"/>
      <c r="V197" s="274"/>
    </row>
    <row r="198" spans="2:22" ht="15.95" customHeight="1" x14ac:dyDescent="0.2">
      <c r="B198" s="274"/>
      <c r="C198" s="274"/>
      <c r="D198" s="275"/>
      <c r="E198" s="266"/>
      <c r="F198" s="266"/>
      <c r="G198" s="266"/>
      <c r="H198" s="266"/>
      <c r="I198" s="276"/>
      <c r="J198" s="266"/>
      <c r="K198" s="266"/>
      <c r="M198" s="266"/>
      <c r="N198" s="266"/>
      <c r="O198" s="266"/>
      <c r="P198" s="274"/>
      <c r="R198" s="266"/>
      <c r="S198" s="266"/>
      <c r="T198" s="266"/>
      <c r="U198" s="274"/>
      <c r="V198" s="274"/>
    </row>
    <row r="199" spans="2:22" ht="15.95" customHeight="1" x14ac:dyDescent="0.2">
      <c r="B199" s="274"/>
      <c r="C199" s="274"/>
      <c r="D199" s="275"/>
      <c r="E199" s="266"/>
      <c r="F199" s="266"/>
      <c r="G199" s="266"/>
      <c r="H199" s="266"/>
      <c r="I199" s="276"/>
      <c r="J199" s="266"/>
      <c r="K199" s="266"/>
      <c r="M199" s="266"/>
      <c r="N199" s="266"/>
      <c r="O199" s="266"/>
      <c r="P199" s="274"/>
      <c r="R199" s="266"/>
      <c r="S199" s="266"/>
      <c r="T199" s="266"/>
      <c r="U199" s="274"/>
      <c r="V199" s="274"/>
    </row>
    <row r="200" spans="2:22" ht="15.95" customHeight="1" x14ac:dyDescent="0.2">
      <c r="B200" s="274"/>
      <c r="C200" s="274"/>
      <c r="D200" s="275"/>
      <c r="E200" s="266"/>
      <c r="F200" s="266"/>
      <c r="G200" s="266"/>
      <c r="H200" s="266"/>
      <c r="I200" s="276"/>
      <c r="J200" s="266"/>
      <c r="K200" s="266"/>
      <c r="M200" s="266"/>
      <c r="N200" s="266"/>
      <c r="O200" s="266"/>
      <c r="P200" s="274"/>
      <c r="R200" s="266"/>
      <c r="S200" s="266"/>
      <c r="T200" s="266"/>
      <c r="U200" s="274"/>
      <c r="V200" s="274"/>
    </row>
    <row r="201" spans="2:22" ht="15.95" customHeight="1" x14ac:dyDescent="0.2">
      <c r="B201" s="274"/>
      <c r="C201" s="274"/>
      <c r="D201" s="275"/>
      <c r="E201" s="266"/>
      <c r="F201" s="266"/>
      <c r="G201" s="266"/>
      <c r="H201" s="266"/>
      <c r="I201" s="276"/>
      <c r="J201" s="266"/>
      <c r="K201" s="266"/>
      <c r="M201" s="266"/>
      <c r="N201" s="266"/>
      <c r="O201" s="266"/>
      <c r="P201" s="274"/>
      <c r="R201" s="266"/>
      <c r="S201" s="266"/>
      <c r="T201" s="266"/>
      <c r="U201" s="274"/>
      <c r="V201" s="274"/>
    </row>
    <row r="202" spans="2:22" ht="15.95" customHeight="1" x14ac:dyDescent="0.2">
      <c r="B202" s="274"/>
      <c r="C202" s="274"/>
      <c r="D202" s="275"/>
      <c r="E202" s="266"/>
      <c r="F202" s="266"/>
      <c r="G202" s="266"/>
      <c r="H202" s="266"/>
      <c r="I202" s="276"/>
      <c r="J202" s="266"/>
      <c r="K202" s="266"/>
      <c r="M202" s="266"/>
      <c r="N202" s="266"/>
      <c r="O202" s="266"/>
      <c r="P202" s="274"/>
      <c r="R202" s="266"/>
      <c r="S202" s="266"/>
      <c r="T202" s="266"/>
      <c r="U202" s="274"/>
      <c r="V202" s="274"/>
    </row>
    <row r="203" spans="2:22" ht="15.95" customHeight="1" x14ac:dyDescent="0.2">
      <c r="B203" s="274"/>
      <c r="C203" s="274"/>
      <c r="D203" s="275"/>
      <c r="E203" s="266"/>
      <c r="F203" s="266"/>
      <c r="G203" s="266"/>
      <c r="H203" s="266"/>
      <c r="I203" s="276"/>
      <c r="J203" s="266"/>
      <c r="K203" s="266"/>
      <c r="M203" s="266"/>
      <c r="N203" s="266"/>
      <c r="O203" s="266"/>
      <c r="P203" s="274"/>
      <c r="R203" s="266"/>
      <c r="S203" s="266"/>
      <c r="T203" s="266"/>
      <c r="U203" s="274"/>
      <c r="V203" s="274"/>
    </row>
    <row r="204" spans="2:22" ht="15.95" customHeight="1" x14ac:dyDescent="0.2">
      <c r="B204" s="274"/>
      <c r="C204" s="274"/>
      <c r="D204" s="275"/>
      <c r="E204" s="266"/>
      <c r="F204" s="266"/>
      <c r="G204" s="266"/>
      <c r="H204" s="266"/>
      <c r="I204" s="276"/>
      <c r="J204" s="266"/>
      <c r="K204" s="266"/>
      <c r="M204" s="266"/>
      <c r="N204" s="266"/>
      <c r="O204" s="266"/>
      <c r="P204" s="274"/>
      <c r="R204" s="266"/>
      <c r="S204" s="266"/>
      <c r="T204" s="266"/>
      <c r="U204" s="274"/>
      <c r="V204" s="274"/>
    </row>
    <row r="205" spans="2:22" ht="15.95" customHeight="1" x14ac:dyDescent="0.2">
      <c r="B205" s="274"/>
      <c r="C205" s="274"/>
      <c r="D205" s="275"/>
      <c r="E205" s="266"/>
      <c r="F205" s="266"/>
      <c r="G205" s="266"/>
      <c r="H205" s="266"/>
      <c r="I205" s="276"/>
      <c r="J205" s="266"/>
      <c r="K205" s="266"/>
      <c r="M205" s="266"/>
      <c r="N205" s="266"/>
      <c r="O205" s="266"/>
      <c r="P205" s="274"/>
      <c r="R205" s="266"/>
      <c r="S205" s="266"/>
      <c r="T205" s="266"/>
      <c r="U205" s="274"/>
      <c r="V205" s="274"/>
    </row>
    <row r="206" spans="2:22" ht="15.95" customHeight="1" x14ac:dyDescent="0.2">
      <c r="B206" s="274"/>
      <c r="C206" s="274"/>
      <c r="D206" s="275"/>
      <c r="E206" s="266"/>
      <c r="F206" s="266"/>
      <c r="G206" s="266"/>
      <c r="H206" s="266"/>
      <c r="I206" s="276"/>
      <c r="J206" s="266"/>
      <c r="K206" s="266"/>
      <c r="M206" s="266"/>
      <c r="N206" s="266"/>
      <c r="O206" s="266"/>
      <c r="P206" s="274"/>
      <c r="R206" s="266"/>
      <c r="S206" s="266"/>
      <c r="T206" s="266"/>
      <c r="U206" s="274"/>
      <c r="V206" s="274"/>
    </row>
    <row r="207" spans="2:22" ht="15.95" customHeight="1" x14ac:dyDescent="0.2">
      <c r="B207" s="274"/>
      <c r="C207" s="274"/>
      <c r="D207" s="275"/>
      <c r="E207" s="266"/>
      <c r="F207" s="266"/>
      <c r="G207" s="266"/>
      <c r="H207" s="266"/>
      <c r="I207" s="276"/>
      <c r="J207" s="266"/>
      <c r="K207" s="266"/>
      <c r="M207" s="266"/>
      <c r="N207" s="266"/>
      <c r="O207" s="266"/>
      <c r="P207" s="274"/>
      <c r="R207" s="266"/>
      <c r="S207" s="266"/>
      <c r="T207" s="266"/>
      <c r="U207" s="274"/>
      <c r="V207" s="274"/>
    </row>
    <row r="208" spans="2:22" ht="15.95" customHeight="1" x14ac:dyDescent="0.2">
      <c r="B208" s="274"/>
      <c r="C208" s="274"/>
      <c r="D208" s="275"/>
      <c r="E208" s="266"/>
      <c r="F208" s="266"/>
      <c r="G208" s="266"/>
      <c r="H208" s="266"/>
      <c r="I208" s="276"/>
      <c r="J208" s="266"/>
      <c r="K208" s="266"/>
      <c r="M208" s="266"/>
      <c r="N208" s="266"/>
      <c r="O208" s="266"/>
      <c r="P208" s="274"/>
      <c r="R208" s="266"/>
      <c r="S208" s="266"/>
      <c r="T208" s="266"/>
      <c r="U208" s="274"/>
      <c r="V208" s="274"/>
    </row>
    <row r="209" spans="2:22" ht="15.95" customHeight="1" x14ac:dyDescent="0.2">
      <c r="B209" s="274"/>
      <c r="C209" s="274"/>
      <c r="D209" s="275"/>
      <c r="E209" s="266"/>
      <c r="F209" s="266"/>
      <c r="G209" s="266"/>
      <c r="H209" s="266"/>
      <c r="I209" s="276"/>
      <c r="J209" s="266"/>
      <c r="K209" s="266"/>
      <c r="M209" s="266"/>
      <c r="N209" s="266"/>
      <c r="O209" s="266"/>
      <c r="P209" s="274"/>
      <c r="R209" s="266"/>
      <c r="S209" s="266"/>
      <c r="T209" s="266"/>
      <c r="U209" s="274"/>
      <c r="V209" s="274"/>
    </row>
    <row r="210" spans="2:22" ht="15.95" customHeight="1" x14ac:dyDescent="0.2">
      <c r="B210" s="274"/>
      <c r="C210" s="274"/>
      <c r="D210" s="275"/>
      <c r="E210" s="266"/>
      <c r="F210" s="266"/>
      <c r="G210" s="266"/>
      <c r="H210" s="266"/>
      <c r="I210" s="276"/>
      <c r="J210" s="266"/>
      <c r="K210" s="266"/>
      <c r="M210" s="266"/>
      <c r="N210" s="266"/>
      <c r="O210" s="266"/>
      <c r="P210" s="274"/>
      <c r="R210" s="266"/>
      <c r="S210" s="266"/>
      <c r="T210" s="266"/>
      <c r="U210" s="274"/>
      <c r="V210" s="274"/>
    </row>
    <row r="211" spans="2:22" ht="15.95" customHeight="1" x14ac:dyDescent="0.2">
      <c r="B211" s="274"/>
      <c r="C211" s="274"/>
      <c r="D211" s="275"/>
      <c r="E211" s="266"/>
      <c r="F211" s="266"/>
      <c r="G211" s="266"/>
      <c r="H211" s="266"/>
      <c r="I211" s="276"/>
      <c r="J211" s="266"/>
      <c r="K211" s="266"/>
      <c r="M211" s="266"/>
      <c r="N211" s="266"/>
      <c r="O211" s="266"/>
      <c r="P211" s="274"/>
      <c r="R211" s="266"/>
      <c r="S211" s="266"/>
      <c r="T211" s="266"/>
      <c r="U211" s="274"/>
      <c r="V211" s="274"/>
    </row>
    <row r="212" spans="2:22" ht="15.95" customHeight="1" x14ac:dyDescent="0.2">
      <c r="B212" s="274"/>
      <c r="C212" s="274"/>
      <c r="D212" s="275"/>
      <c r="E212" s="266"/>
      <c r="F212" s="266"/>
      <c r="G212" s="266"/>
      <c r="H212" s="266"/>
      <c r="I212" s="276"/>
      <c r="J212" s="266"/>
      <c r="K212" s="266"/>
      <c r="M212" s="266"/>
      <c r="N212" s="266"/>
      <c r="O212" s="266"/>
      <c r="P212" s="274"/>
      <c r="R212" s="266"/>
      <c r="S212" s="266"/>
      <c r="T212" s="266"/>
      <c r="U212" s="274"/>
      <c r="V212" s="274"/>
    </row>
    <row r="213" spans="2:22" ht="15.95" customHeight="1" x14ac:dyDescent="0.2">
      <c r="B213" s="274"/>
      <c r="C213" s="274"/>
      <c r="D213" s="275"/>
      <c r="E213" s="266"/>
      <c r="F213" s="266"/>
      <c r="G213" s="266"/>
      <c r="H213" s="266"/>
      <c r="I213" s="276"/>
      <c r="J213" s="266"/>
      <c r="K213" s="266"/>
      <c r="M213" s="266"/>
      <c r="N213" s="266"/>
      <c r="O213" s="266"/>
      <c r="P213" s="274"/>
      <c r="R213" s="266"/>
      <c r="S213" s="266"/>
      <c r="T213" s="266"/>
      <c r="U213" s="274"/>
      <c r="V213" s="274"/>
    </row>
    <row r="214" spans="2:22" ht="15.95" customHeight="1" x14ac:dyDescent="0.2">
      <c r="B214" s="274"/>
      <c r="C214" s="274"/>
      <c r="D214" s="275"/>
      <c r="E214" s="266"/>
      <c r="F214" s="266"/>
      <c r="G214" s="266"/>
      <c r="H214" s="266"/>
      <c r="I214" s="276"/>
      <c r="J214" s="266"/>
      <c r="K214" s="266"/>
      <c r="M214" s="266"/>
      <c r="N214" s="266"/>
      <c r="O214" s="266"/>
      <c r="P214" s="274"/>
      <c r="R214" s="266"/>
      <c r="S214" s="266"/>
      <c r="T214" s="266"/>
      <c r="U214" s="274"/>
      <c r="V214" s="274"/>
    </row>
    <row r="215" spans="2:22" ht="15.95" customHeight="1" x14ac:dyDescent="0.2">
      <c r="B215" s="274"/>
      <c r="C215" s="274"/>
      <c r="D215" s="275"/>
      <c r="E215" s="266"/>
      <c r="F215" s="266"/>
      <c r="G215" s="266"/>
      <c r="H215" s="266"/>
      <c r="I215" s="276"/>
      <c r="J215" s="266"/>
      <c r="K215" s="266"/>
      <c r="M215" s="266"/>
      <c r="N215" s="266"/>
      <c r="O215" s="266"/>
      <c r="P215" s="274"/>
      <c r="R215" s="266"/>
      <c r="S215" s="266"/>
      <c r="T215" s="266"/>
      <c r="U215" s="274"/>
      <c r="V215" s="274"/>
    </row>
    <row r="216" spans="2:22" ht="15.95" customHeight="1" x14ac:dyDescent="0.2">
      <c r="B216" s="274"/>
      <c r="C216" s="274"/>
      <c r="D216" s="275"/>
      <c r="E216" s="266"/>
      <c r="F216" s="266"/>
      <c r="G216" s="266"/>
      <c r="H216" s="266"/>
      <c r="I216" s="276"/>
      <c r="J216" s="266"/>
      <c r="K216" s="266"/>
      <c r="M216" s="266"/>
      <c r="N216" s="266"/>
      <c r="O216" s="266"/>
      <c r="P216" s="274"/>
      <c r="R216" s="266"/>
      <c r="S216" s="266"/>
      <c r="T216" s="266"/>
      <c r="U216" s="274"/>
      <c r="V216" s="274"/>
    </row>
    <row r="217" spans="2:22" ht="15.95" customHeight="1" x14ac:dyDescent="0.2">
      <c r="B217" s="274"/>
      <c r="C217" s="274"/>
      <c r="D217" s="275"/>
      <c r="E217" s="266"/>
      <c r="F217" s="266"/>
      <c r="G217" s="266"/>
      <c r="H217" s="266"/>
      <c r="I217" s="276"/>
      <c r="J217" s="266"/>
      <c r="K217" s="266"/>
      <c r="M217" s="266"/>
      <c r="N217" s="266"/>
      <c r="O217" s="266"/>
      <c r="P217" s="274"/>
      <c r="R217" s="266"/>
      <c r="S217" s="266"/>
      <c r="T217" s="266"/>
      <c r="U217" s="274"/>
      <c r="V217" s="274"/>
    </row>
    <row r="218" spans="2:22" ht="15.95" customHeight="1" x14ac:dyDescent="0.2">
      <c r="B218" s="274"/>
      <c r="C218" s="274"/>
      <c r="D218" s="275"/>
      <c r="E218" s="266"/>
      <c r="F218" s="266"/>
      <c r="G218" s="266"/>
      <c r="H218" s="266"/>
      <c r="I218" s="276"/>
      <c r="J218" s="266"/>
      <c r="K218" s="266"/>
      <c r="M218" s="266"/>
      <c r="N218" s="266"/>
      <c r="O218" s="266"/>
      <c r="P218" s="274"/>
      <c r="R218" s="266"/>
      <c r="S218" s="266"/>
      <c r="T218" s="266"/>
      <c r="U218" s="274"/>
      <c r="V218" s="274"/>
    </row>
    <row r="219" spans="2:22" ht="15.95" customHeight="1" x14ac:dyDescent="0.2">
      <c r="B219" s="274"/>
      <c r="C219" s="274"/>
      <c r="D219" s="275"/>
      <c r="E219" s="266"/>
      <c r="F219" s="266"/>
      <c r="G219" s="266"/>
      <c r="H219" s="266"/>
      <c r="I219" s="276"/>
      <c r="J219" s="266"/>
      <c r="K219" s="266"/>
      <c r="M219" s="266"/>
      <c r="N219" s="266"/>
      <c r="O219" s="266"/>
      <c r="P219" s="274"/>
      <c r="R219" s="266"/>
      <c r="S219" s="266"/>
      <c r="T219" s="266"/>
      <c r="U219" s="274"/>
      <c r="V219" s="274"/>
    </row>
    <row r="220" spans="2:22" ht="15.95" customHeight="1" x14ac:dyDescent="0.2">
      <c r="B220" s="274"/>
      <c r="C220" s="274"/>
      <c r="D220" s="275"/>
      <c r="E220" s="266"/>
      <c r="F220" s="266"/>
      <c r="G220" s="266"/>
      <c r="H220" s="266"/>
      <c r="I220" s="276"/>
      <c r="J220" s="266"/>
      <c r="K220" s="266"/>
      <c r="M220" s="266"/>
      <c r="N220" s="266"/>
      <c r="O220" s="266"/>
      <c r="P220" s="274"/>
      <c r="R220" s="266"/>
      <c r="S220" s="266"/>
      <c r="T220" s="266"/>
      <c r="U220" s="274"/>
      <c r="V220" s="274"/>
    </row>
    <row r="221" spans="2:22" ht="15.95" customHeight="1" x14ac:dyDescent="0.2">
      <c r="B221" s="274"/>
      <c r="C221" s="274"/>
      <c r="D221" s="275"/>
      <c r="E221" s="266"/>
      <c r="F221" s="266"/>
      <c r="G221" s="266"/>
      <c r="H221" s="266"/>
      <c r="I221" s="276"/>
      <c r="J221" s="266"/>
      <c r="K221" s="266"/>
      <c r="M221" s="266"/>
      <c r="N221" s="266"/>
      <c r="O221" s="266"/>
      <c r="P221" s="274"/>
      <c r="R221" s="266"/>
      <c r="S221" s="266"/>
      <c r="T221" s="266"/>
      <c r="U221" s="274"/>
      <c r="V221" s="274"/>
    </row>
    <row r="222" spans="2:22" ht="15.95" customHeight="1" x14ac:dyDescent="0.2">
      <c r="B222" s="274"/>
      <c r="C222" s="274"/>
      <c r="D222" s="275"/>
      <c r="E222" s="266"/>
      <c r="F222" s="266"/>
      <c r="G222" s="266"/>
      <c r="H222" s="266"/>
      <c r="I222" s="276"/>
      <c r="J222" s="266"/>
      <c r="K222" s="266"/>
      <c r="M222" s="266"/>
      <c r="N222" s="266"/>
      <c r="O222" s="266"/>
      <c r="P222" s="274"/>
      <c r="R222" s="266"/>
      <c r="S222" s="266"/>
      <c r="T222" s="266"/>
      <c r="U222" s="274"/>
      <c r="V222" s="274"/>
    </row>
    <row r="223" spans="2:22" ht="15.95" customHeight="1" x14ac:dyDescent="0.2">
      <c r="B223" s="274"/>
      <c r="C223" s="274"/>
      <c r="D223" s="275"/>
      <c r="E223" s="266"/>
      <c r="F223" s="266"/>
      <c r="G223" s="266"/>
      <c r="H223" s="266"/>
      <c r="I223" s="276"/>
      <c r="J223" s="266"/>
      <c r="K223" s="266"/>
      <c r="M223" s="266"/>
      <c r="N223" s="266"/>
      <c r="O223" s="266"/>
      <c r="P223" s="274"/>
      <c r="R223" s="266"/>
      <c r="S223" s="266"/>
      <c r="T223" s="266"/>
      <c r="U223" s="274"/>
      <c r="V223" s="274"/>
    </row>
    <row r="224" spans="2:22" ht="15.95" customHeight="1" x14ac:dyDescent="0.2">
      <c r="B224" s="274"/>
      <c r="C224" s="274"/>
      <c r="D224" s="275"/>
      <c r="E224" s="266"/>
      <c r="F224" s="266"/>
      <c r="G224" s="266"/>
      <c r="H224" s="266"/>
      <c r="I224" s="276"/>
      <c r="J224" s="266"/>
      <c r="K224" s="266"/>
      <c r="M224" s="266"/>
      <c r="N224" s="266"/>
      <c r="O224" s="266"/>
      <c r="P224" s="274"/>
      <c r="R224" s="266"/>
      <c r="S224" s="266"/>
      <c r="T224" s="266"/>
      <c r="U224" s="274"/>
      <c r="V224" s="274"/>
    </row>
    <row r="225" spans="2:22" ht="15.95" customHeight="1" x14ac:dyDescent="0.2">
      <c r="B225" s="274"/>
      <c r="C225" s="274"/>
      <c r="D225" s="275"/>
      <c r="E225" s="266"/>
      <c r="F225" s="266"/>
      <c r="G225" s="266"/>
      <c r="H225" s="266"/>
      <c r="I225" s="276"/>
      <c r="J225" s="266"/>
      <c r="K225" s="266"/>
      <c r="M225" s="266"/>
      <c r="N225" s="266"/>
      <c r="O225" s="266"/>
      <c r="P225" s="274"/>
      <c r="R225" s="266"/>
      <c r="S225" s="266"/>
      <c r="T225" s="266"/>
      <c r="U225" s="274"/>
      <c r="V225" s="274"/>
    </row>
    <row r="226" spans="2:22" ht="15.95" customHeight="1" x14ac:dyDescent="0.2">
      <c r="B226" s="274"/>
      <c r="C226" s="274"/>
      <c r="D226" s="275"/>
      <c r="E226" s="266"/>
      <c r="F226" s="266"/>
      <c r="G226" s="266"/>
      <c r="H226" s="266"/>
      <c r="I226" s="276"/>
      <c r="J226" s="266"/>
      <c r="K226" s="266"/>
      <c r="M226" s="266"/>
      <c r="N226" s="266"/>
      <c r="O226" s="266"/>
      <c r="P226" s="274"/>
      <c r="R226" s="266"/>
      <c r="S226" s="266"/>
      <c r="T226" s="266"/>
      <c r="U226" s="274"/>
      <c r="V226" s="274"/>
    </row>
    <row r="227" spans="2:22" ht="15.95" customHeight="1" x14ac:dyDescent="0.2">
      <c r="B227" s="274"/>
      <c r="C227" s="274"/>
      <c r="D227" s="275"/>
      <c r="E227" s="266"/>
      <c r="F227" s="266"/>
      <c r="G227" s="266"/>
      <c r="H227" s="266"/>
      <c r="I227" s="276"/>
      <c r="J227" s="266"/>
      <c r="K227" s="266"/>
      <c r="M227" s="266"/>
      <c r="N227" s="266"/>
      <c r="O227" s="266"/>
      <c r="P227" s="274"/>
      <c r="R227" s="266"/>
      <c r="S227" s="266"/>
      <c r="T227" s="266"/>
      <c r="U227" s="274"/>
      <c r="V227" s="274"/>
    </row>
    <row r="228" spans="2:22" ht="15.95" customHeight="1" x14ac:dyDescent="0.2">
      <c r="B228" s="274"/>
      <c r="C228" s="274"/>
      <c r="D228" s="275"/>
      <c r="E228" s="266"/>
      <c r="F228" s="266"/>
      <c r="G228" s="266"/>
      <c r="H228" s="266"/>
      <c r="I228" s="276"/>
      <c r="J228" s="266"/>
      <c r="K228" s="266"/>
      <c r="M228" s="266"/>
      <c r="N228" s="266"/>
      <c r="O228" s="266"/>
      <c r="P228" s="274"/>
      <c r="R228" s="266"/>
      <c r="S228" s="266"/>
      <c r="T228" s="266"/>
      <c r="U228" s="274"/>
      <c r="V228" s="274"/>
    </row>
    <row r="229" spans="2:22" ht="15.95" customHeight="1" x14ac:dyDescent="0.2">
      <c r="B229" s="274"/>
      <c r="C229" s="274"/>
      <c r="D229" s="275"/>
      <c r="E229" s="266"/>
      <c r="F229" s="266"/>
      <c r="G229" s="266"/>
      <c r="H229" s="266"/>
      <c r="I229" s="276"/>
      <c r="J229" s="266"/>
      <c r="K229" s="266"/>
      <c r="M229" s="266"/>
      <c r="N229" s="266"/>
      <c r="O229" s="266"/>
      <c r="P229" s="274"/>
      <c r="R229" s="266"/>
      <c r="S229" s="266"/>
      <c r="T229" s="266"/>
      <c r="U229" s="274"/>
      <c r="V229" s="274"/>
    </row>
    <row r="230" spans="2:22" ht="15.95" customHeight="1" x14ac:dyDescent="0.2">
      <c r="B230" s="274"/>
      <c r="C230" s="274"/>
      <c r="D230" s="275"/>
      <c r="E230" s="266"/>
      <c r="F230" s="266"/>
      <c r="G230" s="266"/>
      <c r="H230" s="266"/>
      <c r="I230" s="276"/>
      <c r="J230" s="266"/>
      <c r="K230" s="266"/>
      <c r="M230" s="266"/>
      <c r="N230" s="266"/>
      <c r="O230" s="266"/>
      <c r="P230" s="274"/>
      <c r="R230" s="266"/>
      <c r="S230" s="266"/>
      <c r="T230" s="266"/>
      <c r="U230" s="274"/>
      <c r="V230" s="274"/>
    </row>
    <row r="231" spans="2:22" ht="15.95" customHeight="1" x14ac:dyDescent="0.2">
      <c r="B231" s="274"/>
      <c r="C231" s="274"/>
      <c r="D231" s="275"/>
      <c r="E231" s="266"/>
      <c r="F231" s="266"/>
      <c r="G231" s="266"/>
      <c r="H231" s="266"/>
      <c r="I231" s="276"/>
      <c r="J231" s="266"/>
      <c r="K231" s="266"/>
      <c r="M231" s="266"/>
      <c r="N231" s="266"/>
      <c r="O231" s="266"/>
      <c r="P231" s="274"/>
      <c r="R231" s="266"/>
      <c r="S231" s="266"/>
      <c r="T231" s="266"/>
      <c r="U231" s="274"/>
      <c r="V231" s="274"/>
    </row>
    <row r="232" spans="2:22" ht="15.95" customHeight="1" x14ac:dyDescent="0.2">
      <c r="B232" s="274"/>
      <c r="C232" s="274"/>
      <c r="D232" s="275"/>
      <c r="E232" s="266"/>
      <c r="F232" s="266"/>
      <c r="G232" s="266"/>
      <c r="H232" s="266"/>
      <c r="I232" s="276"/>
      <c r="J232" s="266"/>
      <c r="K232" s="266"/>
      <c r="M232" s="266"/>
      <c r="N232" s="266"/>
      <c r="O232" s="266"/>
      <c r="P232" s="274"/>
      <c r="R232" s="266"/>
      <c r="S232" s="266"/>
      <c r="T232" s="266"/>
      <c r="U232" s="274"/>
      <c r="V232" s="274"/>
    </row>
    <row r="233" spans="2:22" ht="15.95" customHeight="1" x14ac:dyDescent="0.2">
      <c r="B233" s="274"/>
      <c r="C233" s="274"/>
      <c r="D233" s="275"/>
      <c r="E233" s="266"/>
      <c r="F233" s="266"/>
      <c r="G233" s="266"/>
      <c r="H233" s="266"/>
      <c r="I233" s="276"/>
      <c r="J233" s="266"/>
      <c r="K233" s="266"/>
      <c r="M233" s="266"/>
      <c r="N233" s="266"/>
      <c r="O233" s="266"/>
      <c r="P233" s="274"/>
      <c r="R233" s="266"/>
      <c r="S233" s="266"/>
      <c r="T233" s="266"/>
      <c r="U233" s="274"/>
      <c r="V233" s="274"/>
    </row>
    <row r="234" spans="2:22" ht="15.95" customHeight="1" x14ac:dyDescent="0.2">
      <c r="B234" s="274"/>
      <c r="C234" s="274"/>
      <c r="D234" s="275"/>
      <c r="E234" s="266"/>
      <c r="F234" s="266"/>
      <c r="G234" s="266"/>
      <c r="H234" s="266"/>
      <c r="I234" s="276"/>
      <c r="J234" s="266"/>
      <c r="K234" s="266"/>
      <c r="M234" s="266"/>
      <c r="N234" s="266"/>
      <c r="O234" s="266"/>
      <c r="P234" s="274"/>
      <c r="R234" s="266"/>
      <c r="S234" s="266"/>
      <c r="T234" s="266"/>
      <c r="U234" s="274"/>
      <c r="V234" s="274"/>
    </row>
    <row r="235" spans="2:22" ht="15.95" customHeight="1" x14ac:dyDescent="0.2">
      <c r="B235" s="274"/>
      <c r="C235" s="274"/>
      <c r="D235" s="275"/>
      <c r="E235" s="266"/>
      <c r="F235" s="266"/>
      <c r="G235" s="266"/>
      <c r="H235" s="266"/>
      <c r="I235" s="276"/>
      <c r="J235" s="266"/>
      <c r="K235" s="266"/>
      <c r="M235" s="266"/>
      <c r="N235" s="266"/>
      <c r="O235" s="266"/>
      <c r="P235" s="274"/>
      <c r="R235" s="266"/>
      <c r="S235" s="266"/>
      <c r="T235" s="266"/>
      <c r="U235" s="274"/>
      <c r="V235" s="274"/>
    </row>
    <row r="236" spans="2:22" ht="15.95" customHeight="1" x14ac:dyDescent="0.2">
      <c r="B236" s="274"/>
      <c r="C236" s="274"/>
      <c r="D236" s="275"/>
      <c r="E236" s="266"/>
      <c r="F236" s="266"/>
      <c r="G236" s="266"/>
      <c r="H236" s="266"/>
      <c r="I236" s="276"/>
      <c r="J236" s="266"/>
      <c r="K236" s="266"/>
      <c r="M236" s="266"/>
      <c r="N236" s="266"/>
      <c r="O236" s="266"/>
      <c r="P236" s="274"/>
      <c r="R236" s="266"/>
      <c r="S236" s="266"/>
      <c r="T236" s="266"/>
      <c r="U236" s="274"/>
      <c r="V236" s="274"/>
    </row>
    <row r="237" spans="2:22" ht="15.95" customHeight="1" x14ac:dyDescent="0.2">
      <c r="B237" s="274"/>
      <c r="C237" s="274"/>
      <c r="D237" s="275"/>
      <c r="E237" s="266"/>
      <c r="F237" s="266"/>
      <c r="G237" s="266"/>
      <c r="H237" s="266"/>
      <c r="I237" s="276"/>
      <c r="J237" s="266"/>
      <c r="K237" s="266"/>
      <c r="M237" s="266"/>
      <c r="N237" s="266"/>
      <c r="O237" s="266"/>
      <c r="P237" s="274"/>
      <c r="R237" s="266"/>
      <c r="S237" s="266"/>
      <c r="T237" s="266"/>
      <c r="U237" s="274"/>
      <c r="V237" s="274"/>
    </row>
    <row r="238" spans="2:22" ht="15.95" customHeight="1" x14ac:dyDescent="0.2">
      <c r="B238" s="274"/>
      <c r="C238" s="274"/>
      <c r="D238" s="275"/>
      <c r="E238" s="266"/>
      <c r="F238" s="266"/>
      <c r="G238" s="266"/>
      <c r="H238" s="266"/>
      <c r="I238" s="276"/>
      <c r="J238" s="266"/>
      <c r="K238" s="266"/>
      <c r="M238" s="266"/>
      <c r="N238" s="266"/>
      <c r="O238" s="266"/>
      <c r="P238" s="274"/>
      <c r="R238" s="266"/>
      <c r="S238" s="266"/>
      <c r="T238" s="266"/>
      <c r="U238" s="274"/>
      <c r="V238" s="274"/>
    </row>
    <row r="239" spans="2:22" ht="15.95" customHeight="1" x14ac:dyDescent="0.2">
      <c r="B239" s="274"/>
      <c r="C239" s="274"/>
      <c r="D239" s="275"/>
      <c r="E239" s="266"/>
      <c r="F239" s="266"/>
      <c r="G239" s="266"/>
      <c r="H239" s="266"/>
      <c r="I239" s="276"/>
      <c r="J239" s="266"/>
      <c r="K239" s="266"/>
      <c r="M239" s="266"/>
      <c r="N239" s="266"/>
      <c r="O239" s="266"/>
      <c r="P239" s="274"/>
      <c r="R239" s="266"/>
      <c r="S239" s="266"/>
      <c r="T239" s="266"/>
      <c r="U239" s="274"/>
      <c r="V239" s="274"/>
    </row>
    <row r="240" spans="2:22" ht="15.95" customHeight="1" x14ac:dyDescent="0.2">
      <c r="B240" s="274"/>
      <c r="C240" s="274"/>
      <c r="D240" s="275"/>
      <c r="E240" s="266"/>
      <c r="F240" s="266"/>
      <c r="G240" s="266"/>
      <c r="H240" s="266"/>
      <c r="I240" s="276"/>
      <c r="J240" s="266"/>
      <c r="K240" s="266"/>
      <c r="M240" s="266"/>
      <c r="N240" s="266"/>
      <c r="O240" s="266"/>
      <c r="P240" s="274"/>
      <c r="R240" s="266"/>
      <c r="S240" s="266"/>
      <c r="T240" s="266"/>
      <c r="U240" s="274"/>
      <c r="V240" s="274"/>
    </row>
    <row r="241" spans="2:22" ht="15.95" customHeight="1" x14ac:dyDescent="0.2">
      <c r="B241" s="274"/>
      <c r="C241" s="274"/>
      <c r="D241" s="275"/>
      <c r="E241" s="266"/>
      <c r="F241" s="266"/>
      <c r="G241" s="266"/>
      <c r="H241" s="266"/>
      <c r="I241" s="276"/>
      <c r="J241" s="266"/>
      <c r="K241" s="266"/>
      <c r="M241" s="266"/>
      <c r="N241" s="266"/>
      <c r="O241" s="266"/>
      <c r="P241" s="274"/>
      <c r="R241" s="266"/>
      <c r="S241" s="266"/>
      <c r="T241" s="266"/>
      <c r="U241" s="274"/>
      <c r="V241" s="274"/>
    </row>
    <row r="242" spans="2:22" ht="15.95" customHeight="1" x14ac:dyDescent="0.2">
      <c r="B242" s="274"/>
      <c r="C242" s="274"/>
      <c r="D242" s="275"/>
      <c r="E242" s="266"/>
      <c r="F242" s="266"/>
      <c r="G242" s="266"/>
      <c r="H242" s="266"/>
      <c r="I242" s="276"/>
      <c r="J242" s="266"/>
      <c r="K242" s="266"/>
      <c r="M242" s="266"/>
      <c r="N242" s="266"/>
      <c r="O242" s="266"/>
      <c r="P242" s="274"/>
      <c r="R242" s="266"/>
      <c r="S242" s="266"/>
      <c r="T242" s="266"/>
      <c r="U242" s="274"/>
      <c r="V242" s="274"/>
    </row>
    <row r="243" spans="2:22" ht="15.95" customHeight="1" x14ac:dyDescent="0.2">
      <c r="B243" s="274"/>
      <c r="C243" s="274"/>
      <c r="D243" s="275"/>
      <c r="E243" s="266"/>
      <c r="F243" s="266"/>
      <c r="G243" s="266"/>
      <c r="H243" s="266"/>
      <c r="I243" s="276"/>
      <c r="J243" s="266"/>
      <c r="K243" s="266"/>
      <c r="M243" s="266"/>
      <c r="N243" s="266"/>
      <c r="O243" s="266"/>
      <c r="P243" s="274"/>
      <c r="R243" s="266"/>
      <c r="S243" s="266"/>
      <c r="T243" s="266"/>
      <c r="U243" s="274"/>
      <c r="V243" s="274"/>
    </row>
    <row r="244" spans="2:22" ht="15.95" customHeight="1" x14ac:dyDescent="0.2">
      <c r="B244" s="274"/>
      <c r="C244" s="274"/>
      <c r="D244" s="275"/>
      <c r="E244" s="266"/>
      <c r="F244" s="266"/>
      <c r="G244" s="266"/>
      <c r="H244" s="266"/>
      <c r="I244" s="276"/>
      <c r="J244" s="266"/>
      <c r="K244" s="266"/>
      <c r="M244" s="266"/>
      <c r="N244" s="266"/>
      <c r="O244" s="266"/>
      <c r="P244" s="274"/>
      <c r="R244" s="266"/>
      <c r="S244" s="266"/>
      <c r="T244" s="266"/>
      <c r="U244" s="274"/>
      <c r="V244" s="274"/>
    </row>
    <row r="245" spans="2:22" ht="15.95" customHeight="1" x14ac:dyDescent="0.2">
      <c r="B245" s="274"/>
      <c r="C245" s="274"/>
      <c r="D245" s="275"/>
      <c r="E245" s="266"/>
      <c r="F245" s="266"/>
      <c r="G245" s="266"/>
      <c r="H245" s="266"/>
      <c r="I245" s="276"/>
      <c r="J245" s="266"/>
      <c r="K245" s="266"/>
      <c r="M245" s="266"/>
      <c r="N245" s="266"/>
      <c r="O245" s="266"/>
      <c r="P245" s="274"/>
      <c r="R245" s="266"/>
      <c r="S245" s="266"/>
      <c r="T245" s="266"/>
      <c r="U245" s="274"/>
      <c r="V245" s="274"/>
    </row>
    <row r="246" spans="2:22" ht="15.95" customHeight="1" x14ac:dyDescent="0.2">
      <c r="B246" s="274"/>
      <c r="C246" s="274"/>
      <c r="D246" s="275"/>
      <c r="E246" s="266"/>
      <c r="F246" s="266"/>
      <c r="G246" s="266"/>
      <c r="H246" s="266"/>
      <c r="I246" s="276"/>
      <c r="J246" s="266"/>
      <c r="K246" s="266"/>
      <c r="M246" s="266"/>
      <c r="N246" s="266"/>
      <c r="O246" s="266"/>
      <c r="P246" s="274"/>
      <c r="R246" s="266"/>
      <c r="S246" s="266"/>
      <c r="T246" s="266"/>
      <c r="U246" s="274"/>
      <c r="V246" s="274"/>
    </row>
    <row r="247" spans="2:22" ht="15.95" customHeight="1" x14ac:dyDescent="0.2">
      <c r="B247" s="274"/>
      <c r="C247" s="274"/>
      <c r="D247" s="275"/>
      <c r="E247" s="266"/>
      <c r="F247" s="266"/>
      <c r="G247" s="266"/>
      <c r="H247" s="266"/>
      <c r="I247" s="276"/>
      <c r="J247" s="266"/>
      <c r="K247" s="266"/>
      <c r="M247" s="266"/>
      <c r="N247" s="266"/>
      <c r="O247" s="266"/>
      <c r="P247" s="274"/>
      <c r="R247" s="266"/>
      <c r="S247" s="266"/>
      <c r="T247" s="266"/>
      <c r="U247" s="274"/>
      <c r="V247" s="274"/>
    </row>
    <row r="248" spans="2:22" ht="15.95" customHeight="1" x14ac:dyDescent="0.2">
      <c r="B248" s="274"/>
      <c r="C248" s="274"/>
      <c r="D248" s="275"/>
      <c r="E248" s="266"/>
      <c r="F248" s="266"/>
      <c r="G248" s="266"/>
      <c r="H248" s="266"/>
      <c r="I248" s="276"/>
      <c r="J248" s="266"/>
      <c r="K248" s="266"/>
      <c r="M248" s="266"/>
      <c r="N248" s="266"/>
      <c r="O248" s="266"/>
      <c r="P248" s="274"/>
      <c r="R248" s="266"/>
      <c r="S248" s="266"/>
      <c r="T248" s="266"/>
      <c r="U248" s="274"/>
      <c r="V248" s="274"/>
    </row>
    <row r="249" spans="2:22" ht="15.95" customHeight="1" x14ac:dyDescent="0.2">
      <c r="B249" s="274"/>
      <c r="C249" s="274"/>
      <c r="D249" s="275"/>
      <c r="E249" s="266"/>
      <c r="F249" s="266"/>
      <c r="G249" s="266"/>
      <c r="H249" s="266"/>
      <c r="I249" s="276"/>
      <c r="J249" s="266"/>
      <c r="K249" s="266"/>
      <c r="M249" s="266"/>
      <c r="N249" s="266"/>
      <c r="O249" s="266"/>
      <c r="P249" s="274"/>
      <c r="R249" s="266"/>
      <c r="S249" s="266"/>
      <c r="T249" s="266"/>
      <c r="U249" s="274"/>
      <c r="V249" s="274"/>
    </row>
    <row r="250" spans="2:22" ht="15.95" customHeight="1" x14ac:dyDescent="0.2">
      <c r="B250" s="274"/>
      <c r="C250" s="274"/>
      <c r="D250" s="275"/>
      <c r="E250" s="266"/>
      <c r="F250" s="266"/>
      <c r="G250" s="266"/>
      <c r="H250" s="266"/>
      <c r="I250" s="276"/>
      <c r="J250" s="266"/>
      <c r="K250" s="266"/>
      <c r="M250" s="266"/>
      <c r="N250" s="266"/>
      <c r="O250" s="266"/>
      <c r="P250" s="274"/>
      <c r="R250" s="266"/>
      <c r="S250" s="266"/>
      <c r="T250" s="266"/>
      <c r="U250" s="274"/>
      <c r="V250" s="274"/>
    </row>
    <row r="251" spans="2:22" ht="15.95" customHeight="1" x14ac:dyDescent="0.2">
      <c r="B251" s="274"/>
      <c r="C251" s="274"/>
      <c r="D251" s="275"/>
      <c r="E251" s="266"/>
      <c r="F251" s="266"/>
      <c r="G251" s="266"/>
      <c r="H251" s="266"/>
      <c r="I251" s="276"/>
      <c r="J251" s="266"/>
      <c r="K251" s="266"/>
      <c r="M251" s="266"/>
      <c r="N251" s="266"/>
      <c r="O251" s="266"/>
      <c r="P251" s="274"/>
      <c r="R251" s="266"/>
      <c r="S251" s="266"/>
      <c r="T251" s="266"/>
      <c r="U251" s="274"/>
      <c r="V251" s="274"/>
    </row>
    <row r="252" spans="2:22" ht="15.95" customHeight="1" x14ac:dyDescent="0.2">
      <c r="B252" s="274"/>
      <c r="C252" s="274"/>
      <c r="D252" s="275"/>
      <c r="E252" s="266"/>
      <c r="F252" s="266"/>
      <c r="G252" s="266"/>
      <c r="H252" s="266"/>
      <c r="I252" s="276"/>
      <c r="J252" s="266"/>
      <c r="K252" s="266"/>
      <c r="M252" s="266"/>
      <c r="N252" s="266"/>
      <c r="O252" s="266"/>
      <c r="P252" s="274"/>
      <c r="R252" s="266"/>
      <c r="S252" s="266"/>
      <c r="T252" s="266"/>
      <c r="U252" s="274"/>
      <c r="V252" s="274"/>
    </row>
    <row r="253" spans="2:22" ht="15.95" customHeight="1" x14ac:dyDescent="0.2">
      <c r="B253" s="274"/>
      <c r="C253" s="274"/>
      <c r="D253" s="275"/>
      <c r="E253" s="266"/>
      <c r="F253" s="266"/>
      <c r="G253" s="266"/>
      <c r="H253" s="266"/>
      <c r="I253" s="276"/>
      <c r="J253" s="266"/>
      <c r="K253" s="266"/>
      <c r="M253" s="266"/>
      <c r="N253" s="266"/>
      <c r="O253" s="266"/>
      <c r="P253" s="274"/>
      <c r="R253" s="266"/>
      <c r="S253" s="266"/>
      <c r="T253" s="266"/>
      <c r="U253" s="274"/>
      <c r="V253" s="274"/>
    </row>
    <row r="254" spans="2:22" ht="15.95" customHeight="1" x14ac:dyDescent="0.2">
      <c r="B254" s="274"/>
      <c r="C254" s="274"/>
      <c r="D254" s="275"/>
      <c r="E254" s="266"/>
      <c r="F254" s="266"/>
      <c r="G254" s="266"/>
      <c r="H254" s="266"/>
      <c r="I254" s="276"/>
      <c r="J254" s="266"/>
      <c r="K254" s="266"/>
      <c r="M254" s="266"/>
      <c r="N254" s="266"/>
      <c r="O254" s="266"/>
      <c r="P254" s="274"/>
      <c r="R254" s="266"/>
      <c r="S254" s="266"/>
      <c r="T254" s="266"/>
      <c r="U254" s="274"/>
      <c r="V254" s="274"/>
    </row>
    <row r="255" spans="2:22" ht="15.95" customHeight="1" x14ac:dyDescent="0.2">
      <c r="B255" s="274"/>
      <c r="C255" s="274"/>
      <c r="D255" s="275"/>
      <c r="E255" s="266"/>
      <c r="F255" s="266"/>
      <c r="G255" s="266"/>
      <c r="H255" s="266"/>
      <c r="I255" s="276"/>
      <c r="J255" s="266"/>
      <c r="K255" s="266"/>
      <c r="M255" s="266"/>
      <c r="N255" s="266"/>
      <c r="O255" s="266"/>
      <c r="P255" s="274"/>
      <c r="R255" s="266"/>
      <c r="S255" s="266"/>
      <c r="T255" s="266"/>
      <c r="U255" s="274"/>
      <c r="V255" s="274"/>
    </row>
    <row r="256" spans="2:22" ht="15.95" customHeight="1" x14ac:dyDescent="0.2">
      <c r="B256" s="274"/>
      <c r="C256" s="274"/>
      <c r="D256" s="275"/>
      <c r="E256" s="266"/>
      <c r="F256" s="266"/>
      <c r="G256" s="266"/>
      <c r="H256" s="266"/>
      <c r="I256" s="276"/>
      <c r="J256" s="266"/>
      <c r="K256" s="266"/>
      <c r="M256" s="266"/>
      <c r="N256" s="266"/>
      <c r="O256" s="266"/>
      <c r="P256" s="274"/>
      <c r="R256" s="266"/>
      <c r="S256" s="266"/>
      <c r="T256" s="266"/>
      <c r="U256" s="274"/>
      <c r="V256" s="274"/>
    </row>
    <row r="257" spans="2:22" ht="15.95" customHeight="1" x14ac:dyDescent="0.2">
      <c r="B257" s="274"/>
      <c r="C257" s="274"/>
      <c r="D257" s="275"/>
      <c r="E257" s="266"/>
      <c r="F257" s="266"/>
      <c r="G257" s="266"/>
      <c r="H257" s="266"/>
      <c r="I257" s="276"/>
      <c r="J257" s="266"/>
      <c r="K257" s="266"/>
      <c r="M257" s="266"/>
      <c r="N257" s="266"/>
      <c r="O257" s="266"/>
      <c r="P257" s="274"/>
      <c r="R257" s="266"/>
      <c r="S257" s="266"/>
      <c r="T257" s="266"/>
      <c r="U257" s="274"/>
      <c r="V257" s="274"/>
    </row>
    <row r="258" spans="2:22" ht="15.95" customHeight="1" x14ac:dyDescent="0.2">
      <c r="B258" s="274"/>
      <c r="C258" s="274"/>
      <c r="D258" s="275"/>
      <c r="E258" s="266"/>
      <c r="F258" s="266"/>
      <c r="G258" s="266"/>
      <c r="H258" s="266"/>
      <c r="I258" s="276"/>
      <c r="J258" s="266"/>
      <c r="K258" s="266"/>
      <c r="M258" s="266"/>
      <c r="N258" s="266"/>
      <c r="O258" s="266"/>
      <c r="P258" s="274"/>
      <c r="R258" s="266"/>
      <c r="S258" s="266"/>
      <c r="T258" s="266"/>
      <c r="U258" s="274"/>
      <c r="V258" s="274"/>
    </row>
    <row r="259" spans="2:22" ht="15.95" customHeight="1" x14ac:dyDescent="0.2">
      <c r="B259" s="274"/>
      <c r="C259" s="274"/>
      <c r="D259" s="275"/>
      <c r="E259" s="266"/>
      <c r="F259" s="266"/>
      <c r="G259" s="266"/>
      <c r="H259" s="266"/>
      <c r="I259" s="276"/>
      <c r="J259" s="266"/>
      <c r="K259" s="266"/>
      <c r="M259" s="266"/>
      <c r="N259" s="266"/>
      <c r="O259" s="266"/>
      <c r="P259" s="274"/>
      <c r="R259" s="266"/>
      <c r="S259" s="266"/>
      <c r="T259" s="266"/>
      <c r="U259" s="274"/>
      <c r="V259" s="274"/>
    </row>
    <row r="260" spans="2:22" ht="15.95" customHeight="1" x14ac:dyDescent="0.2">
      <c r="B260" s="274"/>
      <c r="C260" s="274"/>
      <c r="D260" s="275"/>
      <c r="E260" s="266"/>
      <c r="F260" s="266"/>
      <c r="G260" s="266"/>
      <c r="H260" s="266"/>
      <c r="I260" s="276"/>
      <c r="J260" s="266"/>
      <c r="K260" s="266"/>
      <c r="M260" s="266"/>
      <c r="N260" s="266"/>
      <c r="O260" s="266"/>
      <c r="P260" s="274"/>
      <c r="R260" s="266"/>
      <c r="S260" s="266"/>
      <c r="T260" s="266"/>
      <c r="U260" s="274"/>
      <c r="V260" s="274"/>
    </row>
    <row r="261" spans="2:22" ht="15.95" customHeight="1" x14ac:dyDescent="0.2">
      <c r="B261" s="274"/>
      <c r="C261" s="274"/>
      <c r="D261" s="275"/>
      <c r="E261" s="266"/>
      <c r="F261" s="266"/>
      <c r="G261" s="266"/>
      <c r="H261" s="266"/>
      <c r="I261" s="276"/>
      <c r="J261" s="266"/>
      <c r="K261" s="266"/>
      <c r="M261" s="266"/>
      <c r="N261" s="266"/>
      <c r="O261" s="266"/>
      <c r="P261" s="274"/>
      <c r="R261" s="266"/>
      <c r="S261" s="266"/>
      <c r="T261" s="266"/>
      <c r="U261" s="274"/>
      <c r="V261" s="274"/>
    </row>
    <row r="262" spans="2:22" ht="15.95" customHeight="1" x14ac:dyDescent="0.2">
      <c r="B262" s="274"/>
      <c r="C262" s="274"/>
      <c r="D262" s="275"/>
      <c r="E262" s="266"/>
      <c r="F262" s="266"/>
      <c r="G262" s="266"/>
      <c r="H262" s="266"/>
      <c r="I262" s="276"/>
      <c r="J262" s="266"/>
      <c r="K262" s="266"/>
      <c r="M262" s="266"/>
      <c r="N262" s="266"/>
      <c r="O262" s="266"/>
      <c r="P262" s="274"/>
      <c r="R262" s="266"/>
      <c r="S262" s="266"/>
      <c r="T262" s="266"/>
      <c r="U262" s="274"/>
      <c r="V262" s="274"/>
    </row>
    <row r="263" spans="2:22" ht="15.95" customHeight="1" x14ac:dyDescent="0.2">
      <c r="B263" s="274"/>
      <c r="C263" s="274"/>
      <c r="D263" s="275"/>
      <c r="E263" s="266"/>
      <c r="F263" s="266"/>
      <c r="G263" s="266"/>
      <c r="H263" s="266"/>
      <c r="I263" s="276"/>
      <c r="J263" s="266"/>
      <c r="K263" s="266"/>
      <c r="M263" s="266"/>
      <c r="N263" s="266"/>
      <c r="O263" s="266"/>
      <c r="P263" s="274"/>
      <c r="R263" s="266"/>
      <c r="S263" s="266"/>
      <c r="T263" s="266"/>
      <c r="U263" s="274"/>
      <c r="V263" s="274"/>
    </row>
    <row r="264" spans="2:22" ht="15.95" customHeight="1" x14ac:dyDescent="0.2">
      <c r="B264" s="274"/>
      <c r="C264" s="274"/>
      <c r="D264" s="275"/>
      <c r="E264" s="266"/>
      <c r="F264" s="266"/>
      <c r="G264" s="266"/>
      <c r="H264" s="266"/>
      <c r="I264" s="276"/>
      <c r="J264" s="266"/>
      <c r="K264" s="266"/>
      <c r="M264" s="266"/>
      <c r="N264" s="266"/>
      <c r="O264" s="266"/>
      <c r="P264" s="274"/>
      <c r="R264" s="266"/>
      <c r="S264" s="266"/>
      <c r="T264" s="266"/>
      <c r="U264" s="274"/>
      <c r="V264" s="274"/>
    </row>
    <row r="265" spans="2:22" ht="15.95" customHeight="1" x14ac:dyDescent="0.2">
      <c r="B265" s="274"/>
      <c r="C265" s="274"/>
      <c r="D265" s="275"/>
      <c r="E265" s="266"/>
      <c r="F265" s="266"/>
      <c r="G265" s="266"/>
      <c r="H265" s="266"/>
      <c r="I265" s="276"/>
      <c r="J265" s="266"/>
      <c r="K265" s="266"/>
      <c r="M265" s="266"/>
      <c r="N265" s="266"/>
      <c r="O265" s="266"/>
      <c r="P265" s="274"/>
      <c r="R265" s="266"/>
      <c r="S265" s="266"/>
      <c r="T265" s="266"/>
      <c r="U265" s="274"/>
      <c r="V265" s="274"/>
    </row>
    <row r="266" spans="2:22" ht="15.95" customHeight="1" x14ac:dyDescent="0.2">
      <c r="B266" s="274"/>
      <c r="C266" s="274"/>
      <c r="D266" s="275"/>
      <c r="E266" s="266"/>
      <c r="F266" s="266"/>
      <c r="G266" s="266"/>
      <c r="H266" s="266"/>
      <c r="I266" s="276"/>
      <c r="J266" s="266"/>
      <c r="K266" s="266"/>
      <c r="M266" s="266"/>
      <c r="N266" s="266"/>
      <c r="O266" s="266"/>
      <c r="P266" s="274"/>
      <c r="R266" s="266"/>
      <c r="S266" s="266"/>
      <c r="T266" s="266"/>
      <c r="U266" s="274"/>
      <c r="V266" s="274"/>
    </row>
    <row r="267" spans="2:22" ht="15.95" customHeight="1" x14ac:dyDescent="0.2">
      <c r="B267" s="274"/>
      <c r="C267" s="274"/>
      <c r="D267" s="275"/>
      <c r="E267" s="266"/>
      <c r="F267" s="266"/>
      <c r="G267" s="266"/>
      <c r="H267" s="266"/>
      <c r="I267" s="276"/>
      <c r="J267" s="266"/>
      <c r="K267" s="266"/>
      <c r="M267" s="266"/>
      <c r="N267" s="266"/>
      <c r="O267" s="266"/>
      <c r="P267" s="274"/>
      <c r="R267" s="266"/>
      <c r="S267" s="266"/>
      <c r="T267" s="266"/>
      <c r="U267" s="274"/>
      <c r="V267" s="274"/>
    </row>
    <row r="268" spans="2:22" ht="15.95" customHeight="1" x14ac:dyDescent="0.2">
      <c r="B268" s="274"/>
      <c r="C268" s="274"/>
      <c r="D268" s="275"/>
      <c r="E268" s="266"/>
      <c r="F268" s="266"/>
      <c r="G268" s="266"/>
      <c r="H268" s="266"/>
      <c r="I268" s="276"/>
      <c r="J268" s="266"/>
      <c r="K268" s="266"/>
      <c r="M268" s="266"/>
      <c r="N268" s="266"/>
      <c r="O268" s="266"/>
      <c r="P268" s="274"/>
      <c r="R268" s="266"/>
      <c r="S268" s="266"/>
      <c r="T268" s="266"/>
      <c r="U268" s="274"/>
      <c r="V268" s="274"/>
    </row>
    <row r="269" spans="2:22" ht="15.95" customHeight="1" x14ac:dyDescent="0.2">
      <c r="B269" s="274"/>
      <c r="C269" s="274"/>
      <c r="D269" s="275"/>
      <c r="E269" s="266"/>
      <c r="F269" s="266"/>
      <c r="G269" s="266"/>
      <c r="H269" s="266"/>
      <c r="I269" s="276"/>
      <c r="J269" s="266"/>
      <c r="K269" s="266"/>
      <c r="M269" s="266"/>
      <c r="N269" s="266"/>
      <c r="O269" s="266"/>
      <c r="P269" s="274"/>
      <c r="R269" s="266"/>
      <c r="S269" s="266"/>
      <c r="T269" s="266"/>
      <c r="U269" s="274"/>
      <c r="V269" s="274"/>
    </row>
    <row r="270" spans="2:22" ht="15.95" customHeight="1" x14ac:dyDescent="0.2">
      <c r="B270" s="274"/>
      <c r="C270" s="274"/>
      <c r="D270" s="275"/>
      <c r="E270" s="266"/>
      <c r="F270" s="266"/>
      <c r="G270" s="266"/>
      <c r="H270" s="266"/>
      <c r="I270" s="276"/>
      <c r="J270" s="266"/>
      <c r="K270" s="266"/>
      <c r="M270" s="266"/>
      <c r="N270" s="266"/>
      <c r="O270" s="266"/>
      <c r="P270" s="274"/>
      <c r="R270" s="266"/>
      <c r="S270" s="266"/>
      <c r="T270" s="266"/>
      <c r="U270" s="274"/>
      <c r="V270" s="274"/>
    </row>
    <row r="271" spans="2:22" ht="15.95" customHeight="1" x14ac:dyDescent="0.2">
      <c r="B271" s="274"/>
      <c r="C271" s="274"/>
      <c r="D271" s="275"/>
      <c r="E271" s="266"/>
      <c r="F271" s="266"/>
      <c r="G271" s="266"/>
      <c r="H271" s="266"/>
      <c r="I271" s="276"/>
      <c r="J271" s="266"/>
      <c r="K271" s="266"/>
      <c r="M271" s="266"/>
      <c r="N271" s="266"/>
      <c r="O271" s="266"/>
      <c r="P271" s="274"/>
      <c r="R271" s="266"/>
      <c r="S271" s="266"/>
      <c r="T271" s="266"/>
      <c r="U271" s="274"/>
      <c r="V271" s="274"/>
    </row>
    <row r="272" spans="2:22" ht="15.95" customHeight="1" x14ac:dyDescent="0.2">
      <c r="B272" s="274"/>
      <c r="C272" s="274"/>
      <c r="D272" s="275"/>
      <c r="E272" s="266"/>
      <c r="F272" s="266"/>
      <c r="G272" s="266"/>
      <c r="H272" s="266"/>
      <c r="I272" s="276"/>
      <c r="J272" s="266"/>
      <c r="K272" s="266"/>
      <c r="M272" s="266"/>
      <c r="N272" s="266"/>
      <c r="O272" s="266"/>
      <c r="P272" s="274"/>
      <c r="R272" s="266"/>
      <c r="S272" s="266"/>
      <c r="T272" s="266"/>
      <c r="U272" s="274"/>
      <c r="V272" s="274"/>
    </row>
    <row r="273" spans="2:22" ht="15.95" customHeight="1" x14ac:dyDescent="0.2">
      <c r="B273" s="274"/>
      <c r="C273" s="274"/>
      <c r="D273" s="275"/>
      <c r="E273" s="266"/>
      <c r="F273" s="266"/>
      <c r="G273" s="266"/>
      <c r="H273" s="266"/>
      <c r="I273" s="276"/>
      <c r="J273" s="266"/>
      <c r="K273" s="266"/>
      <c r="M273" s="266"/>
      <c r="N273" s="266"/>
      <c r="O273" s="266"/>
      <c r="P273" s="274"/>
      <c r="R273" s="266"/>
      <c r="S273" s="266"/>
      <c r="T273" s="266"/>
      <c r="U273" s="274"/>
      <c r="V273" s="274"/>
    </row>
    <row r="274" spans="2:22" ht="15.95" customHeight="1" x14ac:dyDescent="0.2">
      <c r="B274" s="274"/>
      <c r="C274" s="274"/>
      <c r="D274" s="275"/>
      <c r="E274" s="266"/>
      <c r="F274" s="266"/>
      <c r="G274" s="266"/>
      <c r="H274" s="266"/>
      <c r="I274" s="276"/>
      <c r="J274" s="266"/>
      <c r="K274" s="266"/>
      <c r="M274" s="266"/>
      <c r="N274" s="266"/>
      <c r="O274" s="266"/>
      <c r="P274" s="274"/>
      <c r="R274" s="266"/>
      <c r="S274" s="266"/>
      <c r="T274" s="266"/>
      <c r="U274" s="274"/>
      <c r="V274" s="274"/>
    </row>
    <row r="275" spans="2:22" ht="15.95" customHeight="1" x14ac:dyDescent="0.2">
      <c r="B275" s="274"/>
      <c r="C275" s="274"/>
      <c r="D275" s="275"/>
      <c r="E275" s="266"/>
      <c r="F275" s="266"/>
      <c r="G275" s="266"/>
      <c r="H275" s="266"/>
      <c r="I275" s="276"/>
      <c r="J275" s="266"/>
      <c r="K275" s="266"/>
      <c r="M275" s="266"/>
      <c r="N275" s="266"/>
      <c r="O275" s="266"/>
      <c r="P275" s="274"/>
      <c r="R275" s="266"/>
      <c r="S275" s="266"/>
      <c r="T275" s="266"/>
      <c r="U275" s="274"/>
      <c r="V275" s="274"/>
    </row>
    <row r="276" spans="2:22" ht="15.95" customHeight="1" x14ac:dyDescent="0.2">
      <c r="B276" s="274"/>
      <c r="C276" s="274"/>
      <c r="D276" s="275"/>
      <c r="E276" s="266"/>
      <c r="F276" s="266"/>
      <c r="G276" s="266"/>
      <c r="H276" s="266"/>
      <c r="I276" s="276"/>
      <c r="J276" s="266"/>
      <c r="K276" s="266"/>
      <c r="M276" s="266"/>
      <c r="N276" s="266"/>
      <c r="O276" s="266"/>
      <c r="P276" s="274"/>
      <c r="R276" s="266"/>
      <c r="S276" s="266"/>
      <c r="T276" s="266"/>
      <c r="U276" s="274"/>
      <c r="V276" s="274"/>
    </row>
    <row r="277" spans="2:22" ht="15.95" customHeight="1" x14ac:dyDescent="0.2">
      <c r="B277" s="274"/>
      <c r="C277" s="274"/>
      <c r="D277" s="275"/>
      <c r="E277" s="266"/>
      <c r="F277" s="266"/>
      <c r="G277" s="266"/>
      <c r="H277" s="266"/>
      <c r="I277" s="276"/>
      <c r="J277" s="266"/>
      <c r="K277" s="266"/>
      <c r="M277" s="266"/>
      <c r="N277" s="266"/>
      <c r="O277" s="266"/>
      <c r="P277" s="274"/>
      <c r="R277" s="266"/>
      <c r="S277" s="266"/>
      <c r="T277" s="266"/>
      <c r="U277" s="274"/>
      <c r="V277" s="274"/>
    </row>
    <row r="278" spans="2:22" ht="15.95" customHeight="1" x14ac:dyDescent="0.2">
      <c r="B278" s="274"/>
      <c r="C278" s="274"/>
      <c r="D278" s="275"/>
      <c r="E278" s="266"/>
      <c r="F278" s="266"/>
      <c r="G278" s="266"/>
      <c r="H278" s="266"/>
      <c r="I278" s="276"/>
      <c r="J278" s="266"/>
      <c r="K278" s="266"/>
      <c r="M278" s="266"/>
      <c r="N278" s="266"/>
      <c r="O278" s="266"/>
      <c r="P278" s="274"/>
      <c r="R278" s="266"/>
      <c r="S278" s="266"/>
      <c r="T278" s="266"/>
      <c r="U278" s="274"/>
      <c r="V278" s="274"/>
    </row>
    <row r="279" spans="2:22" ht="15.95" customHeight="1" x14ac:dyDescent="0.2">
      <c r="B279" s="274"/>
      <c r="C279" s="274"/>
      <c r="D279" s="275"/>
      <c r="E279" s="266"/>
      <c r="F279" s="266"/>
      <c r="G279" s="266"/>
      <c r="H279" s="266"/>
      <c r="I279" s="276"/>
      <c r="J279" s="266"/>
      <c r="K279" s="266"/>
      <c r="M279" s="266"/>
      <c r="N279" s="266"/>
      <c r="O279" s="266"/>
      <c r="P279" s="274"/>
      <c r="R279" s="266"/>
      <c r="S279" s="266"/>
      <c r="T279" s="266"/>
      <c r="U279" s="274"/>
      <c r="V279" s="274"/>
    </row>
    <row r="280" spans="2:22" ht="15.95" customHeight="1" x14ac:dyDescent="0.2">
      <c r="B280" s="274"/>
      <c r="C280" s="274"/>
      <c r="D280" s="275"/>
      <c r="E280" s="266"/>
      <c r="F280" s="266"/>
      <c r="G280" s="266"/>
      <c r="H280" s="266"/>
      <c r="I280" s="276"/>
      <c r="J280" s="266"/>
      <c r="K280" s="266"/>
      <c r="M280" s="266"/>
      <c r="N280" s="266"/>
      <c r="O280" s="266"/>
      <c r="P280" s="274"/>
      <c r="R280" s="266"/>
      <c r="S280" s="266"/>
      <c r="T280" s="266"/>
      <c r="U280" s="274"/>
      <c r="V280" s="274"/>
    </row>
    <row r="281" spans="2:22" ht="15.95" customHeight="1" x14ac:dyDescent="0.2">
      <c r="B281" s="274"/>
      <c r="C281" s="274"/>
      <c r="D281" s="275"/>
      <c r="E281" s="266"/>
      <c r="F281" s="266"/>
      <c r="G281" s="266"/>
      <c r="H281" s="266"/>
      <c r="I281" s="276"/>
      <c r="J281" s="266"/>
      <c r="K281" s="266"/>
      <c r="M281" s="266"/>
      <c r="N281" s="266"/>
      <c r="O281" s="266"/>
      <c r="P281" s="274"/>
      <c r="R281" s="266"/>
      <c r="S281" s="266"/>
      <c r="T281" s="266"/>
      <c r="U281" s="274"/>
      <c r="V281" s="274"/>
    </row>
    <row r="282" spans="2:22" ht="15.95" customHeight="1" x14ac:dyDescent="0.2">
      <c r="B282" s="274"/>
      <c r="C282" s="274"/>
      <c r="D282" s="275"/>
      <c r="E282" s="266"/>
      <c r="F282" s="266"/>
      <c r="G282" s="266"/>
      <c r="H282" s="266"/>
      <c r="I282" s="276"/>
      <c r="J282" s="266"/>
      <c r="K282" s="266"/>
      <c r="M282" s="266"/>
      <c r="N282" s="266"/>
      <c r="O282" s="266"/>
      <c r="P282" s="274"/>
      <c r="R282" s="266"/>
      <c r="S282" s="266"/>
      <c r="T282" s="266"/>
      <c r="U282" s="274"/>
      <c r="V282" s="274"/>
    </row>
    <row r="283" spans="2:22" ht="15.95" customHeight="1" x14ac:dyDescent="0.2">
      <c r="B283" s="274"/>
      <c r="C283" s="274"/>
      <c r="D283" s="275"/>
      <c r="E283" s="266"/>
      <c r="F283" s="266"/>
      <c r="G283" s="266"/>
      <c r="H283" s="266"/>
      <c r="I283" s="276"/>
      <c r="J283" s="266"/>
      <c r="K283" s="266"/>
      <c r="M283" s="266"/>
      <c r="N283" s="266"/>
      <c r="O283" s="266"/>
      <c r="P283" s="274"/>
      <c r="R283" s="266"/>
      <c r="S283" s="266"/>
      <c r="T283" s="266"/>
      <c r="U283" s="274"/>
      <c r="V283" s="274"/>
    </row>
    <row r="284" spans="2:22" ht="15.95" customHeight="1" x14ac:dyDescent="0.2">
      <c r="B284" s="274"/>
      <c r="C284" s="274"/>
      <c r="D284" s="275"/>
      <c r="E284" s="266"/>
      <c r="F284" s="266"/>
      <c r="G284" s="266"/>
      <c r="H284" s="266"/>
      <c r="I284" s="276"/>
      <c r="J284" s="266"/>
      <c r="K284" s="266"/>
      <c r="M284" s="266"/>
      <c r="N284" s="266"/>
      <c r="O284" s="266"/>
      <c r="P284" s="274"/>
      <c r="R284" s="266"/>
      <c r="S284" s="266"/>
      <c r="T284" s="266"/>
      <c r="U284" s="274"/>
      <c r="V284" s="274"/>
    </row>
    <row r="285" spans="2:22" ht="15.95" customHeight="1" x14ac:dyDescent="0.2">
      <c r="B285" s="274"/>
      <c r="C285" s="274"/>
      <c r="D285" s="275"/>
      <c r="E285" s="266"/>
      <c r="F285" s="266"/>
      <c r="G285" s="266"/>
      <c r="H285" s="266"/>
      <c r="I285" s="276"/>
      <c r="J285" s="266"/>
      <c r="K285" s="266"/>
      <c r="M285" s="266"/>
      <c r="N285" s="266"/>
      <c r="O285" s="266"/>
      <c r="P285" s="274"/>
      <c r="R285" s="266"/>
      <c r="S285" s="266"/>
      <c r="T285" s="266"/>
      <c r="U285" s="274"/>
      <c r="V285" s="274"/>
    </row>
    <row r="286" spans="2:22" ht="15.95" customHeight="1" x14ac:dyDescent="0.2">
      <c r="B286" s="274"/>
      <c r="C286" s="274"/>
      <c r="D286" s="275"/>
      <c r="E286" s="266"/>
      <c r="F286" s="266"/>
      <c r="G286" s="266"/>
      <c r="H286" s="266"/>
      <c r="I286" s="276"/>
      <c r="J286" s="266"/>
      <c r="K286" s="266"/>
      <c r="M286" s="266"/>
      <c r="N286" s="266"/>
      <c r="O286" s="266"/>
      <c r="P286" s="274"/>
      <c r="R286" s="266"/>
      <c r="S286" s="266"/>
      <c r="T286" s="266"/>
      <c r="U286" s="274"/>
      <c r="V286" s="274"/>
    </row>
    <row r="287" spans="2:22" ht="15.95" customHeight="1" x14ac:dyDescent="0.2">
      <c r="B287" s="274"/>
      <c r="C287" s="274"/>
      <c r="D287" s="275"/>
      <c r="E287" s="266"/>
      <c r="F287" s="266"/>
      <c r="G287" s="266"/>
      <c r="H287" s="266"/>
      <c r="I287" s="276"/>
      <c r="J287" s="266"/>
      <c r="K287" s="266"/>
      <c r="M287" s="266"/>
      <c r="N287" s="266"/>
      <c r="O287" s="266"/>
      <c r="P287" s="274"/>
      <c r="R287" s="266"/>
      <c r="S287" s="266"/>
      <c r="T287" s="266"/>
      <c r="U287" s="274"/>
      <c r="V287" s="274"/>
    </row>
    <row r="288" spans="2:22" ht="15.95" customHeight="1" x14ac:dyDescent="0.2">
      <c r="B288" s="274"/>
      <c r="C288" s="274"/>
      <c r="D288" s="275"/>
      <c r="E288" s="266"/>
      <c r="F288" s="266"/>
      <c r="G288" s="266"/>
      <c r="H288" s="266"/>
      <c r="I288" s="276"/>
      <c r="J288" s="266"/>
      <c r="K288" s="266"/>
      <c r="M288" s="266"/>
      <c r="N288" s="266"/>
      <c r="O288" s="266"/>
      <c r="P288" s="274"/>
      <c r="R288" s="266"/>
      <c r="S288" s="266"/>
      <c r="T288" s="266"/>
      <c r="U288" s="274"/>
      <c r="V288" s="274"/>
    </row>
    <row r="289" spans="2:22" ht="15.95" customHeight="1" x14ac:dyDescent="0.2">
      <c r="B289" s="274"/>
      <c r="C289" s="274"/>
      <c r="D289" s="275"/>
      <c r="E289" s="266"/>
      <c r="F289" s="266"/>
      <c r="G289" s="266"/>
      <c r="H289" s="266"/>
      <c r="I289" s="276"/>
      <c r="J289" s="266"/>
      <c r="K289" s="266"/>
      <c r="M289" s="266"/>
      <c r="N289" s="266"/>
      <c r="O289" s="266"/>
      <c r="P289" s="274"/>
      <c r="R289" s="266"/>
      <c r="S289" s="266"/>
      <c r="T289" s="266"/>
      <c r="U289" s="274"/>
      <c r="V289" s="274"/>
    </row>
    <row r="290" spans="2:22" ht="15.95" customHeight="1" x14ac:dyDescent="0.2">
      <c r="B290" s="274"/>
      <c r="C290" s="274"/>
      <c r="D290" s="275"/>
      <c r="E290" s="266"/>
      <c r="F290" s="266"/>
      <c r="G290" s="266"/>
      <c r="H290" s="266"/>
      <c r="I290" s="276"/>
      <c r="J290" s="266"/>
      <c r="K290" s="266"/>
      <c r="M290" s="266"/>
      <c r="N290" s="266"/>
      <c r="O290" s="266"/>
      <c r="P290" s="274"/>
      <c r="R290" s="266"/>
      <c r="S290" s="266"/>
      <c r="T290" s="266"/>
      <c r="U290" s="274"/>
      <c r="V290" s="274"/>
    </row>
    <row r="291" spans="2:22" ht="15.95" customHeight="1" x14ac:dyDescent="0.2">
      <c r="B291" s="274"/>
      <c r="C291" s="274"/>
      <c r="D291" s="275"/>
      <c r="E291" s="266"/>
      <c r="F291" s="266"/>
      <c r="G291" s="266"/>
      <c r="H291" s="266"/>
      <c r="I291" s="276"/>
      <c r="J291" s="266"/>
      <c r="K291" s="266"/>
      <c r="M291" s="266"/>
      <c r="N291" s="266"/>
      <c r="O291" s="266"/>
      <c r="P291" s="274"/>
      <c r="R291" s="266"/>
      <c r="S291" s="266"/>
      <c r="T291" s="266"/>
      <c r="U291" s="274"/>
      <c r="V291" s="274"/>
    </row>
    <row r="292" spans="2:22" ht="15.95" customHeight="1" x14ac:dyDescent="0.2">
      <c r="B292" s="274"/>
      <c r="C292" s="274"/>
      <c r="D292" s="275"/>
      <c r="E292" s="266"/>
      <c r="F292" s="266"/>
      <c r="G292" s="266"/>
      <c r="H292" s="266"/>
      <c r="I292" s="276"/>
      <c r="J292" s="266"/>
      <c r="K292" s="266"/>
      <c r="M292" s="266"/>
      <c r="N292" s="266"/>
      <c r="O292" s="266"/>
      <c r="P292" s="274"/>
      <c r="R292" s="266"/>
      <c r="S292" s="266"/>
      <c r="T292" s="266"/>
      <c r="U292" s="274"/>
      <c r="V292" s="274"/>
    </row>
    <row r="293" spans="2:22" ht="15.95" customHeight="1" x14ac:dyDescent="0.2">
      <c r="B293" s="274"/>
      <c r="C293" s="274"/>
      <c r="D293" s="275"/>
      <c r="E293" s="266"/>
      <c r="F293" s="266"/>
      <c r="G293" s="266"/>
      <c r="H293" s="266"/>
      <c r="I293" s="276"/>
      <c r="J293" s="266"/>
      <c r="K293" s="266"/>
      <c r="M293" s="266"/>
      <c r="N293" s="266"/>
      <c r="O293" s="266"/>
      <c r="P293" s="274"/>
      <c r="R293" s="266"/>
      <c r="S293" s="266"/>
      <c r="T293" s="266"/>
      <c r="U293" s="274"/>
      <c r="V293" s="274"/>
    </row>
    <row r="294" spans="2:22" ht="15.95" customHeight="1" x14ac:dyDescent="0.2">
      <c r="B294" s="274"/>
      <c r="C294" s="274"/>
      <c r="D294" s="275"/>
      <c r="E294" s="266"/>
      <c r="F294" s="266"/>
      <c r="G294" s="266"/>
      <c r="H294" s="266"/>
      <c r="I294" s="276"/>
      <c r="J294" s="266"/>
      <c r="K294" s="266"/>
      <c r="M294" s="266"/>
      <c r="N294" s="266"/>
      <c r="O294" s="266"/>
      <c r="P294" s="274"/>
      <c r="R294" s="266"/>
      <c r="S294" s="266"/>
      <c r="T294" s="266"/>
      <c r="U294" s="274"/>
      <c r="V294" s="274"/>
    </row>
    <row r="295" spans="2:22" ht="15.95" customHeight="1" x14ac:dyDescent="0.2">
      <c r="B295" s="274"/>
      <c r="C295" s="274"/>
      <c r="D295" s="275"/>
      <c r="E295" s="266"/>
      <c r="F295" s="266"/>
      <c r="G295" s="266"/>
      <c r="H295" s="266"/>
      <c r="I295" s="276"/>
      <c r="J295" s="266"/>
      <c r="K295" s="266"/>
      <c r="M295" s="266"/>
      <c r="N295" s="266"/>
      <c r="O295" s="266"/>
      <c r="P295" s="274"/>
      <c r="R295" s="266"/>
      <c r="S295" s="266"/>
      <c r="T295" s="266"/>
      <c r="U295" s="274"/>
      <c r="V295" s="274"/>
    </row>
    <row r="296" spans="2:22" ht="15.95" customHeight="1" x14ac:dyDescent="0.2">
      <c r="B296" s="274"/>
      <c r="C296" s="274"/>
      <c r="D296" s="275"/>
      <c r="E296" s="266"/>
      <c r="F296" s="266"/>
      <c r="G296" s="266"/>
      <c r="H296" s="266"/>
      <c r="I296" s="276"/>
      <c r="J296" s="266"/>
      <c r="K296" s="266"/>
      <c r="M296" s="266"/>
      <c r="N296" s="266"/>
      <c r="O296" s="266"/>
      <c r="P296" s="274"/>
      <c r="R296" s="266"/>
      <c r="S296" s="266"/>
      <c r="T296" s="266"/>
      <c r="U296" s="274"/>
      <c r="V296" s="274"/>
    </row>
    <row r="297" spans="2:22" ht="15.95" customHeight="1" x14ac:dyDescent="0.2">
      <c r="B297" s="274"/>
      <c r="C297" s="274"/>
      <c r="D297" s="275"/>
      <c r="E297" s="266"/>
      <c r="F297" s="266"/>
      <c r="G297" s="266"/>
      <c r="H297" s="266"/>
      <c r="I297" s="276"/>
      <c r="J297" s="266"/>
      <c r="K297" s="266"/>
      <c r="M297" s="266"/>
      <c r="N297" s="266"/>
      <c r="O297" s="266"/>
      <c r="P297" s="274"/>
      <c r="R297" s="266"/>
      <c r="S297" s="266"/>
      <c r="T297" s="266"/>
      <c r="U297" s="274"/>
      <c r="V297" s="274"/>
    </row>
    <row r="298" spans="2:22" ht="15.95" customHeight="1" x14ac:dyDescent="0.2">
      <c r="B298" s="274"/>
      <c r="C298" s="274"/>
      <c r="D298" s="275"/>
      <c r="E298" s="266"/>
      <c r="F298" s="266"/>
      <c r="G298" s="266"/>
      <c r="H298" s="266"/>
      <c r="I298" s="276"/>
      <c r="J298" s="266"/>
      <c r="K298" s="266"/>
      <c r="M298" s="266"/>
      <c r="N298" s="266"/>
      <c r="O298" s="266"/>
      <c r="P298" s="274"/>
      <c r="R298" s="266"/>
      <c r="S298" s="266"/>
      <c r="T298" s="266"/>
      <c r="U298" s="274"/>
      <c r="V298" s="274"/>
    </row>
    <row r="299" spans="2:22" ht="15.95" customHeight="1" x14ac:dyDescent="0.2">
      <c r="B299" s="274"/>
      <c r="C299" s="274"/>
      <c r="D299" s="275"/>
      <c r="E299" s="266"/>
      <c r="F299" s="266"/>
      <c r="G299" s="266"/>
      <c r="H299" s="266"/>
      <c r="I299" s="276"/>
      <c r="J299" s="266"/>
      <c r="K299" s="266"/>
      <c r="M299" s="266"/>
      <c r="N299" s="266"/>
      <c r="O299" s="266"/>
      <c r="P299" s="274"/>
      <c r="R299" s="266"/>
      <c r="S299" s="266"/>
      <c r="T299" s="266"/>
      <c r="U299" s="274"/>
      <c r="V299" s="274"/>
    </row>
    <row r="300" spans="2:22" ht="15.95" customHeight="1" x14ac:dyDescent="0.2">
      <c r="B300" s="274"/>
      <c r="C300" s="274"/>
      <c r="D300" s="275"/>
      <c r="E300" s="266"/>
      <c r="F300" s="266"/>
      <c r="G300" s="266"/>
      <c r="H300" s="266"/>
      <c r="I300" s="276"/>
      <c r="J300" s="266"/>
      <c r="K300" s="266"/>
      <c r="M300" s="266"/>
      <c r="N300" s="266"/>
      <c r="O300" s="266"/>
      <c r="P300" s="274"/>
      <c r="R300" s="266"/>
      <c r="S300" s="266"/>
      <c r="T300" s="266"/>
      <c r="U300" s="274"/>
      <c r="V300" s="274"/>
    </row>
    <row r="301" spans="2:22" ht="15.95" customHeight="1" x14ac:dyDescent="0.2">
      <c r="B301" s="274"/>
      <c r="C301" s="274"/>
      <c r="D301" s="275"/>
      <c r="E301" s="266"/>
      <c r="F301" s="266"/>
      <c r="G301" s="266"/>
      <c r="H301" s="266"/>
      <c r="I301" s="276"/>
      <c r="J301" s="266"/>
      <c r="K301" s="266"/>
      <c r="M301" s="266"/>
      <c r="N301" s="266"/>
      <c r="O301" s="266"/>
      <c r="P301" s="274"/>
      <c r="R301" s="266"/>
      <c r="S301" s="266"/>
      <c r="T301" s="266"/>
      <c r="U301" s="274"/>
      <c r="V301" s="274"/>
    </row>
    <row r="302" spans="2:22" ht="15.95" customHeight="1" x14ac:dyDescent="0.2">
      <c r="B302" s="274"/>
      <c r="C302" s="274"/>
      <c r="D302" s="275"/>
      <c r="E302" s="266"/>
      <c r="F302" s="266"/>
      <c r="G302" s="266"/>
      <c r="H302" s="266"/>
      <c r="I302" s="276"/>
      <c r="J302" s="266"/>
      <c r="K302" s="266"/>
      <c r="M302" s="266"/>
      <c r="N302" s="266"/>
      <c r="O302" s="266"/>
      <c r="P302" s="274"/>
      <c r="R302" s="266"/>
      <c r="S302" s="266"/>
      <c r="T302" s="266"/>
      <c r="U302" s="274"/>
      <c r="V302" s="274"/>
    </row>
    <row r="303" spans="2:22" ht="15.95" customHeight="1" x14ac:dyDescent="0.2">
      <c r="B303" s="274"/>
      <c r="C303" s="274"/>
      <c r="D303" s="275"/>
      <c r="E303" s="266"/>
      <c r="F303" s="266"/>
      <c r="G303" s="266"/>
      <c r="H303" s="266"/>
      <c r="I303" s="276"/>
      <c r="J303" s="266"/>
      <c r="K303" s="266"/>
      <c r="M303" s="266"/>
      <c r="N303" s="266"/>
      <c r="O303" s="266"/>
      <c r="P303" s="274"/>
      <c r="R303" s="266"/>
      <c r="S303" s="266"/>
      <c r="T303" s="266"/>
      <c r="U303" s="274"/>
      <c r="V303" s="274"/>
    </row>
    <row r="304" spans="2:22" ht="15.95" customHeight="1" x14ac:dyDescent="0.2">
      <c r="B304" s="274"/>
      <c r="C304" s="274"/>
      <c r="D304" s="275"/>
      <c r="E304" s="266"/>
      <c r="F304" s="266"/>
      <c r="G304" s="266"/>
      <c r="H304" s="266"/>
      <c r="I304" s="276"/>
      <c r="J304" s="266"/>
      <c r="K304" s="266"/>
      <c r="M304" s="266"/>
      <c r="N304" s="266"/>
      <c r="O304" s="266"/>
      <c r="P304" s="274"/>
      <c r="R304" s="266"/>
      <c r="S304" s="266"/>
      <c r="T304" s="266"/>
      <c r="U304" s="274"/>
      <c r="V304" s="274"/>
    </row>
    <row r="305" spans="2:22" ht="15.95" customHeight="1" x14ac:dyDescent="0.2">
      <c r="B305" s="274"/>
      <c r="C305" s="274"/>
      <c r="D305" s="275"/>
      <c r="E305" s="266"/>
      <c r="F305" s="266"/>
      <c r="G305" s="266"/>
      <c r="H305" s="266"/>
      <c r="I305" s="276"/>
      <c r="J305" s="266"/>
      <c r="K305" s="266"/>
      <c r="M305" s="266"/>
      <c r="N305" s="266"/>
      <c r="O305" s="266"/>
      <c r="P305" s="274"/>
      <c r="R305" s="266"/>
      <c r="S305" s="266"/>
      <c r="T305" s="266"/>
      <c r="U305" s="274"/>
      <c r="V305" s="274"/>
    </row>
    <row r="306" spans="2:22" ht="15.95" customHeight="1" x14ac:dyDescent="0.2">
      <c r="B306" s="274"/>
      <c r="C306" s="274"/>
      <c r="D306" s="275"/>
      <c r="E306" s="266"/>
      <c r="F306" s="266"/>
      <c r="G306" s="266"/>
      <c r="H306" s="266"/>
      <c r="I306" s="276"/>
      <c r="J306" s="266"/>
      <c r="K306" s="266"/>
      <c r="M306" s="266"/>
      <c r="N306" s="266"/>
      <c r="O306" s="266"/>
      <c r="P306" s="274"/>
      <c r="R306" s="266"/>
      <c r="S306" s="266"/>
      <c r="T306" s="266"/>
      <c r="U306" s="274"/>
      <c r="V306" s="274"/>
    </row>
    <row r="307" spans="2:22" ht="15.95" customHeight="1" x14ac:dyDescent="0.2">
      <c r="B307" s="274"/>
      <c r="C307" s="274"/>
      <c r="D307" s="275"/>
      <c r="E307" s="266"/>
      <c r="F307" s="266"/>
      <c r="G307" s="266"/>
      <c r="H307" s="266"/>
      <c r="I307" s="276"/>
      <c r="J307" s="266"/>
      <c r="K307" s="266"/>
      <c r="M307" s="266"/>
      <c r="N307" s="266"/>
      <c r="O307" s="266"/>
      <c r="P307" s="274"/>
      <c r="R307" s="266"/>
      <c r="S307" s="266"/>
      <c r="T307" s="266"/>
      <c r="U307" s="274"/>
      <c r="V307" s="274"/>
    </row>
    <row r="308" spans="2:22" ht="15.95" customHeight="1" x14ac:dyDescent="0.2">
      <c r="B308" s="274"/>
      <c r="C308" s="274"/>
      <c r="D308" s="275"/>
      <c r="E308" s="266"/>
      <c r="F308" s="266"/>
      <c r="G308" s="266"/>
      <c r="H308" s="266"/>
      <c r="I308" s="276"/>
      <c r="J308" s="266"/>
      <c r="K308" s="266"/>
      <c r="M308" s="266"/>
      <c r="N308" s="266"/>
      <c r="O308" s="266"/>
      <c r="P308" s="274"/>
      <c r="R308" s="266"/>
      <c r="S308" s="266"/>
      <c r="T308" s="266"/>
      <c r="U308" s="274"/>
      <c r="V308" s="274"/>
    </row>
    <row r="309" spans="2:22" ht="15.95" customHeight="1" x14ac:dyDescent="0.2">
      <c r="B309" s="274"/>
      <c r="C309" s="274"/>
      <c r="D309" s="275"/>
      <c r="E309" s="266"/>
      <c r="F309" s="266"/>
      <c r="G309" s="266"/>
      <c r="H309" s="266"/>
      <c r="I309" s="276"/>
      <c r="J309" s="266"/>
      <c r="K309" s="266"/>
      <c r="M309" s="266"/>
      <c r="N309" s="266"/>
      <c r="O309" s="266"/>
      <c r="P309" s="274"/>
      <c r="R309" s="266"/>
      <c r="S309" s="266"/>
      <c r="T309" s="266"/>
      <c r="U309" s="274"/>
      <c r="V309" s="274"/>
    </row>
    <row r="310" spans="2:22" ht="15.95" customHeight="1" x14ac:dyDescent="0.2">
      <c r="B310" s="274"/>
      <c r="C310" s="274"/>
      <c r="D310" s="275"/>
      <c r="E310" s="266"/>
      <c r="F310" s="266"/>
      <c r="G310" s="266"/>
      <c r="H310" s="266"/>
      <c r="I310" s="276"/>
      <c r="J310" s="266"/>
      <c r="K310" s="266"/>
      <c r="M310" s="266"/>
      <c r="N310" s="266"/>
      <c r="O310" s="266"/>
      <c r="P310" s="274"/>
      <c r="R310" s="266"/>
      <c r="S310" s="266"/>
      <c r="T310" s="266"/>
      <c r="U310" s="274"/>
      <c r="V310" s="274"/>
    </row>
    <row r="311" spans="2:22" ht="15.95" customHeight="1" x14ac:dyDescent="0.2">
      <c r="B311" s="274"/>
      <c r="C311" s="274"/>
      <c r="D311" s="275"/>
      <c r="E311" s="266"/>
      <c r="F311" s="266"/>
      <c r="G311" s="266"/>
      <c r="H311" s="266"/>
      <c r="I311" s="276"/>
      <c r="J311" s="266"/>
      <c r="K311" s="266"/>
      <c r="M311" s="266"/>
      <c r="N311" s="266"/>
      <c r="O311" s="266"/>
      <c r="P311" s="274"/>
      <c r="R311" s="266"/>
      <c r="S311" s="266"/>
      <c r="T311" s="266"/>
      <c r="U311" s="274"/>
      <c r="V311" s="274"/>
    </row>
    <row r="312" spans="2:22" ht="15.95" customHeight="1" x14ac:dyDescent="0.2">
      <c r="B312" s="274"/>
      <c r="C312" s="274"/>
      <c r="D312" s="275"/>
      <c r="E312" s="266"/>
      <c r="F312" s="266"/>
      <c r="G312" s="266"/>
      <c r="H312" s="266"/>
      <c r="I312" s="276"/>
      <c r="J312" s="266"/>
      <c r="K312" s="266"/>
      <c r="M312" s="266"/>
      <c r="N312" s="266"/>
      <c r="O312" s="266"/>
      <c r="P312" s="274"/>
      <c r="R312" s="266"/>
      <c r="S312" s="266"/>
      <c r="T312" s="266"/>
      <c r="U312" s="274"/>
      <c r="V312" s="274"/>
    </row>
    <row r="313" spans="2:22" ht="15.95" customHeight="1" x14ac:dyDescent="0.2">
      <c r="B313" s="274"/>
      <c r="C313" s="274"/>
      <c r="D313" s="275"/>
      <c r="E313" s="266"/>
      <c r="F313" s="266"/>
      <c r="G313" s="266"/>
      <c r="H313" s="266"/>
      <c r="I313" s="276"/>
      <c r="J313" s="266"/>
      <c r="K313" s="266"/>
      <c r="M313" s="266"/>
      <c r="N313" s="266"/>
      <c r="O313" s="266"/>
      <c r="P313" s="274"/>
      <c r="R313" s="266"/>
      <c r="S313" s="266"/>
      <c r="T313" s="266"/>
      <c r="U313" s="274"/>
      <c r="V313" s="274"/>
    </row>
    <row r="314" spans="2:22" ht="15.95" customHeight="1" x14ac:dyDescent="0.2">
      <c r="B314" s="274"/>
      <c r="C314" s="274"/>
      <c r="D314" s="275"/>
      <c r="E314" s="266"/>
      <c r="F314" s="266"/>
      <c r="G314" s="266"/>
      <c r="H314" s="266"/>
      <c r="I314" s="276"/>
      <c r="J314" s="266"/>
      <c r="K314" s="266"/>
      <c r="M314" s="266"/>
      <c r="N314" s="266"/>
      <c r="O314" s="266"/>
      <c r="P314" s="274"/>
      <c r="R314" s="266"/>
      <c r="S314" s="266"/>
      <c r="T314" s="266"/>
      <c r="U314" s="274"/>
      <c r="V314" s="274"/>
    </row>
    <row r="315" spans="2:22" ht="15.95" customHeight="1" x14ac:dyDescent="0.2">
      <c r="B315" s="274"/>
      <c r="C315" s="274"/>
      <c r="D315" s="275"/>
      <c r="E315" s="266"/>
      <c r="F315" s="266"/>
      <c r="G315" s="266"/>
      <c r="H315" s="266"/>
      <c r="I315" s="276"/>
      <c r="J315" s="266"/>
      <c r="K315" s="266"/>
      <c r="M315" s="266"/>
      <c r="N315" s="266"/>
      <c r="O315" s="266"/>
      <c r="P315" s="274"/>
      <c r="R315" s="266"/>
      <c r="S315" s="266"/>
      <c r="T315" s="266"/>
      <c r="U315" s="274"/>
      <c r="V315" s="274"/>
    </row>
    <row r="316" spans="2:22" ht="15.95" customHeight="1" x14ac:dyDescent="0.2">
      <c r="B316" s="274"/>
      <c r="C316" s="274"/>
      <c r="D316" s="275"/>
      <c r="E316" s="266"/>
      <c r="F316" s="266"/>
      <c r="G316" s="266"/>
      <c r="H316" s="266"/>
      <c r="I316" s="276"/>
      <c r="J316" s="266"/>
      <c r="K316" s="266"/>
      <c r="M316" s="266"/>
      <c r="N316" s="266"/>
      <c r="O316" s="266"/>
      <c r="P316" s="274"/>
      <c r="R316" s="266"/>
      <c r="S316" s="266"/>
      <c r="T316" s="266"/>
      <c r="U316" s="274"/>
      <c r="V316" s="274"/>
    </row>
    <row r="317" spans="2:22" ht="15.95" customHeight="1" x14ac:dyDescent="0.2">
      <c r="B317" s="274"/>
      <c r="C317" s="274"/>
      <c r="D317" s="275"/>
      <c r="E317" s="266"/>
      <c r="F317" s="266"/>
      <c r="G317" s="266"/>
      <c r="H317" s="266"/>
      <c r="I317" s="276"/>
      <c r="J317" s="266"/>
      <c r="K317" s="266"/>
      <c r="M317" s="266"/>
      <c r="N317" s="266"/>
      <c r="O317" s="266"/>
      <c r="P317" s="274"/>
      <c r="R317" s="266"/>
      <c r="S317" s="266"/>
      <c r="T317" s="266"/>
      <c r="U317" s="274"/>
      <c r="V317" s="274"/>
    </row>
    <row r="318" spans="2:22" ht="15.95" customHeight="1" x14ac:dyDescent="0.2">
      <c r="B318" s="274"/>
      <c r="C318" s="274"/>
      <c r="D318" s="275"/>
      <c r="E318" s="266"/>
      <c r="F318" s="266"/>
      <c r="G318" s="266"/>
      <c r="H318" s="266"/>
      <c r="I318" s="276"/>
      <c r="J318" s="266"/>
      <c r="K318" s="266"/>
      <c r="M318" s="266"/>
      <c r="N318" s="266"/>
      <c r="O318" s="266"/>
      <c r="P318" s="274"/>
      <c r="R318" s="266"/>
      <c r="S318" s="266"/>
      <c r="T318" s="266"/>
      <c r="U318" s="274"/>
      <c r="V318" s="274"/>
    </row>
    <row r="319" spans="2:22" ht="15.95" customHeight="1" x14ac:dyDescent="0.2">
      <c r="B319" s="274"/>
      <c r="C319" s="274"/>
      <c r="D319" s="275"/>
      <c r="E319" s="266"/>
      <c r="F319" s="266"/>
      <c r="G319" s="266"/>
      <c r="H319" s="266"/>
      <c r="I319" s="276"/>
      <c r="J319" s="266"/>
      <c r="K319" s="266"/>
      <c r="M319" s="266"/>
      <c r="N319" s="266"/>
      <c r="O319" s="266"/>
      <c r="P319" s="274"/>
      <c r="R319" s="266"/>
      <c r="S319" s="266"/>
      <c r="T319" s="266"/>
      <c r="U319" s="274"/>
      <c r="V319" s="274"/>
    </row>
    <row r="320" spans="2:22" ht="15.95" customHeight="1" x14ac:dyDescent="0.2">
      <c r="B320" s="274"/>
      <c r="C320" s="274"/>
      <c r="D320" s="275"/>
      <c r="E320" s="266"/>
      <c r="F320" s="266"/>
      <c r="G320" s="266"/>
      <c r="H320" s="266"/>
      <c r="I320" s="276"/>
      <c r="J320" s="266"/>
      <c r="K320" s="266"/>
      <c r="M320" s="266"/>
      <c r="N320" s="266"/>
      <c r="O320" s="266"/>
      <c r="P320" s="274"/>
      <c r="R320" s="266"/>
      <c r="S320" s="266"/>
      <c r="T320" s="266"/>
      <c r="U320" s="274"/>
      <c r="V320" s="274"/>
    </row>
    <row r="321" spans="2:22" ht="15.95" customHeight="1" x14ac:dyDescent="0.2">
      <c r="B321" s="274"/>
      <c r="C321" s="274"/>
      <c r="D321" s="275"/>
      <c r="E321" s="266"/>
      <c r="F321" s="266"/>
      <c r="G321" s="266"/>
      <c r="H321" s="266"/>
      <c r="I321" s="276"/>
      <c r="J321" s="266"/>
      <c r="K321" s="266"/>
      <c r="M321" s="266"/>
      <c r="N321" s="266"/>
      <c r="O321" s="266"/>
      <c r="P321" s="274"/>
      <c r="R321" s="266"/>
      <c r="S321" s="266"/>
      <c r="T321" s="266"/>
      <c r="U321" s="274"/>
      <c r="V321" s="274"/>
    </row>
    <row r="322" spans="2:22" ht="15.95" customHeight="1" x14ac:dyDescent="0.2">
      <c r="B322" s="274"/>
      <c r="C322" s="274"/>
      <c r="D322" s="275"/>
      <c r="E322" s="266"/>
      <c r="F322" s="266"/>
      <c r="G322" s="266"/>
      <c r="H322" s="266"/>
      <c r="I322" s="276"/>
      <c r="J322" s="266"/>
      <c r="K322" s="266"/>
      <c r="M322" s="266"/>
      <c r="N322" s="266"/>
      <c r="O322" s="266"/>
      <c r="P322" s="274"/>
      <c r="R322" s="266"/>
      <c r="S322" s="266"/>
      <c r="T322" s="266"/>
      <c r="U322" s="274"/>
      <c r="V322" s="274"/>
    </row>
    <row r="323" spans="2:22" ht="15.95" customHeight="1" x14ac:dyDescent="0.2">
      <c r="B323" s="274"/>
      <c r="C323" s="274"/>
      <c r="D323" s="275"/>
      <c r="E323" s="266"/>
      <c r="F323" s="266"/>
      <c r="G323" s="266"/>
      <c r="H323" s="266"/>
      <c r="I323" s="276"/>
      <c r="J323" s="266"/>
      <c r="K323" s="266"/>
      <c r="M323" s="266"/>
      <c r="N323" s="266"/>
      <c r="O323" s="266"/>
      <c r="P323" s="274"/>
      <c r="R323" s="266"/>
      <c r="S323" s="266"/>
      <c r="T323" s="266"/>
      <c r="U323" s="274"/>
      <c r="V323" s="274"/>
    </row>
    <row r="324" spans="2:22" ht="15.95" customHeight="1" x14ac:dyDescent="0.2">
      <c r="B324" s="274"/>
      <c r="C324" s="274"/>
      <c r="D324" s="275"/>
      <c r="E324" s="266"/>
      <c r="F324" s="266"/>
      <c r="G324" s="266"/>
      <c r="H324" s="266"/>
      <c r="I324" s="276"/>
      <c r="J324" s="266"/>
      <c r="K324" s="266"/>
      <c r="M324" s="266"/>
      <c r="N324" s="266"/>
      <c r="O324" s="266"/>
      <c r="P324" s="274"/>
      <c r="R324" s="266"/>
      <c r="S324" s="266"/>
      <c r="T324" s="266"/>
      <c r="U324" s="274"/>
      <c r="V324" s="274"/>
    </row>
    <row r="325" spans="2:22" ht="15.95" customHeight="1" x14ac:dyDescent="0.2">
      <c r="B325" s="274"/>
      <c r="C325" s="274"/>
      <c r="D325" s="275"/>
      <c r="E325" s="266"/>
      <c r="F325" s="266"/>
      <c r="G325" s="266"/>
      <c r="H325" s="266"/>
      <c r="I325" s="276"/>
      <c r="J325" s="266"/>
      <c r="K325" s="266"/>
      <c r="M325" s="266"/>
      <c r="N325" s="266"/>
      <c r="O325" s="266"/>
      <c r="P325" s="274"/>
      <c r="R325" s="266"/>
      <c r="S325" s="266"/>
      <c r="T325" s="266"/>
      <c r="U325" s="274"/>
      <c r="V325" s="274"/>
    </row>
    <row r="326" spans="2:22" ht="15.95" customHeight="1" x14ac:dyDescent="0.2">
      <c r="B326" s="274"/>
      <c r="C326" s="274"/>
      <c r="D326" s="275"/>
      <c r="E326" s="266"/>
      <c r="F326" s="266"/>
      <c r="G326" s="266"/>
      <c r="H326" s="266"/>
      <c r="I326" s="276"/>
      <c r="J326" s="266"/>
      <c r="K326" s="266"/>
      <c r="M326" s="266"/>
      <c r="N326" s="266"/>
      <c r="O326" s="266"/>
      <c r="P326" s="274"/>
      <c r="R326" s="266"/>
      <c r="S326" s="266"/>
      <c r="T326" s="266"/>
      <c r="U326" s="274"/>
      <c r="V326" s="274"/>
    </row>
    <row r="327" spans="2:22" ht="15.95" customHeight="1" x14ac:dyDescent="0.2">
      <c r="B327" s="274"/>
      <c r="C327" s="274"/>
      <c r="D327" s="275"/>
      <c r="E327" s="266"/>
      <c r="F327" s="266"/>
      <c r="G327" s="266"/>
      <c r="H327" s="266"/>
      <c r="I327" s="276"/>
      <c r="J327" s="266"/>
      <c r="K327" s="266"/>
      <c r="M327" s="266"/>
      <c r="N327" s="266"/>
      <c r="O327" s="266"/>
      <c r="P327" s="274"/>
      <c r="R327" s="266"/>
      <c r="S327" s="266"/>
      <c r="T327" s="266"/>
      <c r="U327" s="274"/>
      <c r="V327" s="274"/>
    </row>
    <row r="328" spans="2:22" ht="15.95" customHeight="1" x14ac:dyDescent="0.2">
      <c r="B328" s="274"/>
      <c r="C328" s="274"/>
      <c r="D328" s="275"/>
      <c r="E328" s="266"/>
      <c r="F328" s="266"/>
      <c r="G328" s="266"/>
      <c r="H328" s="266"/>
      <c r="I328" s="276"/>
      <c r="J328" s="266"/>
      <c r="K328" s="266"/>
      <c r="M328" s="266"/>
      <c r="N328" s="266"/>
      <c r="O328" s="266"/>
      <c r="P328" s="274"/>
      <c r="R328" s="266"/>
      <c r="S328" s="266"/>
      <c r="T328" s="266"/>
      <c r="U328" s="274"/>
      <c r="V328" s="274"/>
    </row>
    <row r="329" spans="2:22" ht="15.95" customHeight="1" x14ac:dyDescent="0.2">
      <c r="B329" s="274"/>
      <c r="C329" s="274"/>
      <c r="D329" s="275"/>
      <c r="E329" s="266"/>
      <c r="F329" s="266"/>
      <c r="G329" s="266"/>
      <c r="H329" s="266"/>
      <c r="I329" s="276"/>
      <c r="J329" s="266"/>
      <c r="K329" s="266"/>
      <c r="M329" s="266"/>
      <c r="N329" s="266"/>
      <c r="O329" s="266"/>
      <c r="P329" s="274"/>
      <c r="R329" s="266"/>
      <c r="S329" s="266"/>
      <c r="T329" s="266"/>
      <c r="U329" s="274"/>
      <c r="V329" s="274"/>
    </row>
    <row r="330" spans="2:22" ht="15.95" customHeight="1" x14ac:dyDescent="0.2">
      <c r="B330" s="274"/>
      <c r="C330" s="274"/>
      <c r="D330" s="275"/>
      <c r="E330" s="266"/>
      <c r="F330" s="266"/>
      <c r="G330" s="266"/>
      <c r="H330" s="266"/>
      <c r="I330" s="276"/>
      <c r="J330" s="266"/>
      <c r="K330" s="266"/>
      <c r="M330" s="266"/>
      <c r="N330" s="266"/>
      <c r="O330" s="266"/>
      <c r="P330" s="274"/>
      <c r="R330" s="266"/>
      <c r="S330" s="266"/>
      <c r="T330" s="266"/>
      <c r="U330" s="274"/>
      <c r="V330" s="274"/>
    </row>
    <row r="331" spans="2:22" ht="15.95" customHeight="1" x14ac:dyDescent="0.2">
      <c r="B331" s="274"/>
      <c r="C331" s="274"/>
      <c r="D331" s="275"/>
      <c r="E331" s="266"/>
      <c r="F331" s="266"/>
      <c r="G331" s="266"/>
      <c r="H331" s="266"/>
      <c r="I331" s="276"/>
      <c r="J331" s="266"/>
      <c r="K331" s="266"/>
      <c r="M331" s="266"/>
      <c r="N331" s="266"/>
      <c r="O331" s="266"/>
      <c r="P331" s="274"/>
      <c r="R331" s="266"/>
      <c r="S331" s="266"/>
      <c r="T331" s="266"/>
      <c r="U331" s="274"/>
      <c r="V331" s="274"/>
    </row>
    <row r="332" spans="2:22" ht="15.95" customHeight="1" x14ac:dyDescent="0.2">
      <c r="B332" s="274"/>
      <c r="C332" s="274"/>
      <c r="D332" s="275"/>
      <c r="E332" s="266"/>
      <c r="F332" s="266"/>
      <c r="G332" s="266"/>
      <c r="H332" s="266"/>
      <c r="I332" s="276"/>
      <c r="J332" s="266"/>
      <c r="K332" s="266"/>
      <c r="M332" s="266"/>
      <c r="N332" s="266"/>
      <c r="O332" s="266"/>
      <c r="P332" s="274"/>
      <c r="R332" s="266"/>
      <c r="S332" s="266"/>
      <c r="T332" s="266"/>
      <c r="U332" s="274"/>
      <c r="V332" s="274"/>
    </row>
    <row r="333" spans="2:22" ht="15.95" customHeight="1" x14ac:dyDescent="0.2">
      <c r="B333" s="274"/>
      <c r="C333" s="274"/>
      <c r="D333" s="275"/>
      <c r="E333" s="266"/>
      <c r="F333" s="266"/>
      <c r="G333" s="266"/>
      <c r="H333" s="266"/>
      <c r="I333" s="276"/>
      <c r="J333" s="266"/>
      <c r="K333" s="266"/>
      <c r="M333" s="266"/>
      <c r="N333" s="266"/>
      <c r="O333" s="266"/>
      <c r="P333" s="274"/>
      <c r="R333" s="266"/>
      <c r="S333" s="266"/>
      <c r="T333" s="266"/>
      <c r="U333" s="274"/>
      <c r="V333" s="274"/>
    </row>
    <row r="334" spans="2:22" ht="15.95" customHeight="1" x14ac:dyDescent="0.2">
      <c r="B334" s="274"/>
      <c r="C334" s="274"/>
      <c r="D334" s="275"/>
      <c r="E334" s="266"/>
      <c r="F334" s="266"/>
      <c r="G334" s="266"/>
      <c r="H334" s="266"/>
      <c r="I334" s="276"/>
      <c r="J334" s="266"/>
      <c r="K334" s="266"/>
      <c r="M334" s="266"/>
      <c r="N334" s="266"/>
      <c r="O334" s="266"/>
      <c r="P334" s="274"/>
      <c r="R334" s="266"/>
      <c r="S334" s="266"/>
      <c r="T334" s="266"/>
      <c r="U334" s="274"/>
      <c r="V334" s="274"/>
    </row>
    <row r="335" spans="2:22" ht="15.95" customHeight="1" x14ac:dyDescent="0.2">
      <c r="B335" s="274"/>
      <c r="C335" s="274"/>
      <c r="D335" s="275"/>
      <c r="E335" s="266"/>
      <c r="F335" s="266"/>
      <c r="G335" s="266"/>
      <c r="H335" s="266"/>
      <c r="I335" s="276"/>
      <c r="J335" s="266"/>
      <c r="K335" s="266"/>
      <c r="M335" s="266"/>
      <c r="N335" s="266"/>
      <c r="O335" s="266"/>
      <c r="P335" s="274"/>
      <c r="R335" s="266"/>
      <c r="S335" s="266"/>
      <c r="T335" s="266"/>
      <c r="U335" s="274"/>
      <c r="V335" s="274"/>
    </row>
    <row r="336" spans="2:22" ht="15.95" customHeight="1" x14ac:dyDescent="0.2">
      <c r="B336" s="274"/>
      <c r="C336" s="274"/>
      <c r="D336" s="275"/>
      <c r="E336" s="266"/>
      <c r="F336" s="266"/>
      <c r="G336" s="266"/>
      <c r="H336" s="266"/>
      <c r="I336" s="276"/>
      <c r="J336" s="266"/>
      <c r="K336" s="266"/>
      <c r="M336" s="266"/>
      <c r="N336" s="266"/>
      <c r="O336" s="266"/>
      <c r="P336" s="274"/>
      <c r="R336" s="266"/>
      <c r="S336" s="266"/>
      <c r="T336" s="266"/>
      <c r="U336" s="274"/>
      <c r="V336" s="274"/>
    </row>
    <row r="337" spans="2:22" ht="15.95" customHeight="1" x14ac:dyDescent="0.2">
      <c r="B337" s="274"/>
      <c r="C337" s="274"/>
      <c r="D337" s="275"/>
      <c r="E337" s="266"/>
      <c r="F337" s="266"/>
      <c r="G337" s="266"/>
      <c r="H337" s="266"/>
      <c r="I337" s="276"/>
      <c r="J337" s="266"/>
      <c r="K337" s="266"/>
      <c r="M337" s="266"/>
      <c r="N337" s="266"/>
      <c r="O337" s="266"/>
      <c r="P337" s="274"/>
      <c r="R337" s="266"/>
      <c r="S337" s="266"/>
      <c r="T337" s="266"/>
      <c r="U337" s="274"/>
      <c r="V337" s="274"/>
    </row>
    <row r="338" spans="2:22" ht="15.95" customHeight="1" x14ac:dyDescent="0.2">
      <c r="B338" s="274"/>
      <c r="C338" s="274"/>
      <c r="D338" s="275"/>
      <c r="E338" s="266"/>
      <c r="F338" s="266"/>
      <c r="G338" s="266"/>
      <c r="H338" s="266"/>
      <c r="I338" s="276"/>
      <c r="J338" s="266"/>
      <c r="K338" s="266"/>
      <c r="M338" s="266"/>
      <c r="N338" s="266"/>
      <c r="O338" s="266"/>
      <c r="P338" s="274"/>
      <c r="R338" s="266"/>
      <c r="S338" s="266"/>
      <c r="T338" s="266"/>
      <c r="U338" s="274"/>
      <c r="V338" s="274"/>
    </row>
    <row r="339" spans="2:22" ht="15.95" customHeight="1" x14ac:dyDescent="0.2">
      <c r="B339" s="274"/>
      <c r="C339" s="274"/>
      <c r="D339" s="275"/>
      <c r="E339" s="266"/>
      <c r="F339" s="266"/>
      <c r="G339" s="266"/>
      <c r="H339" s="266"/>
      <c r="I339" s="276"/>
      <c r="J339" s="266"/>
      <c r="K339" s="266"/>
      <c r="M339" s="266"/>
      <c r="N339" s="266"/>
      <c r="O339" s="266"/>
      <c r="P339" s="274"/>
      <c r="R339" s="266"/>
      <c r="S339" s="266"/>
      <c r="T339" s="266"/>
      <c r="U339" s="274"/>
      <c r="V339" s="274"/>
    </row>
    <row r="340" spans="2:22" ht="15.95" customHeight="1" x14ac:dyDescent="0.2">
      <c r="B340" s="274"/>
      <c r="C340" s="274"/>
      <c r="D340" s="275"/>
      <c r="E340" s="266"/>
      <c r="F340" s="266"/>
      <c r="G340" s="266"/>
      <c r="H340" s="266"/>
      <c r="I340" s="276"/>
      <c r="J340" s="266"/>
      <c r="K340" s="266"/>
      <c r="M340" s="266"/>
      <c r="N340" s="266"/>
      <c r="O340" s="266"/>
      <c r="P340" s="274"/>
      <c r="R340" s="266"/>
      <c r="S340" s="266"/>
      <c r="T340" s="266"/>
      <c r="U340" s="274"/>
      <c r="V340" s="274"/>
    </row>
    <row r="341" spans="2:22" ht="15.95" customHeight="1" x14ac:dyDescent="0.2">
      <c r="B341" s="274"/>
      <c r="C341" s="274"/>
      <c r="D341" s="275"/>
      <c r="E341" s="266"/>
      <c r="F341" s="266"/>
      <c r="G341" s="266"/>
      <c r="H341" s="266"/>
      <c r="I341" s="276"/>
      <c r="J341" s="266"/>
      <c r="K341" s="266"/>
      <c r="M341" s="266"/>
      <c r="N341" s="266"/>
      <c r="O341" s="266"/>
      <c r="P341" s="274"/>
      <c r="R341" s="266"/>
      <c r="S341" s="266"/>
      <c r="T341" s="266"/>
      <c r="U341" s="274"/>
      <c r="V341" s="274"/>
    </row>
    <row r="342" spans="2:22" ht="15.95" customHeight="1" x14ac:dyDescent="0.2">
      <c r="B342" s="274"/>
      <c r="C342" s="274"/>
      <c r="D342" s="275"/>
      <c r="E342" s="266"/>
      <c r="F342" s="266"/>
      <c r="G342" s="266"/>
      <c r="H342" s="266"/>
      <c r="I342" s="276"/>
      <c r="J342" s="266"/>
      <c r="K342" s="266"/>
      <c r="M342" s="266"/>
      <c r="N342" s="266"/>
      <c r="O342" s="266"/>
      <c r="P342" s="274"/>
      <c r="R342" s="266"/>
      <c r="S342" s="266"/>
      <c r="T342" s="266"/>
      <c r="U342" s="274"/>
      <c r="V342" s="274"/>
    </row>
    <row r="343" spans="2:22" ht="15.95" customHeight="1" x14ac:dyDescent="0.2">
      <c r="B343" s="274"/>
      <c r="C343" s="274"/>
      <c r="D343" s="275"/>
      <c r="E343" s="266"/>
      <c r="F343" s="266"/>
      <c r="G343" s="266"/>
      <c r="H343" s="266"/>
      <c r="I343" s="276"/>
      <c r="J343" s="266"/>
      <c r="K343" s="266"/>
      <c r="M343" s="266"/>
      <c r="N343" s="266"/>
      <c r="O343" s="266"/>
      <c r="P343" s="274"/>
      <c r="R343" s="266"/>
      <c r="S343" s="266"/>
      <c r="T343" s="266"/>
      <c r="U343" s="274"/>
      <c r="V343" s="274"/>
    </row>
    <row r="344" spans="2:22" ht="15.95" customHeight="1" x14ac:dyDescent="0.2">
      <c r="B344" s="274"/>
      <c r="C344" s="274"/>
      <c r="D344" s="275"/>
      <c r="E344" s="266"/>
      <c r="F344" s="266"/>
      <c r="G344" s="266"/>
      <c r="H344" s="266"/>
      <c r="I344" s="276"/>
      <c r="J344" s="266"/>
      <c r="K344" s="266"/>
      <c r="M344" s="266"/>
      <c r="N344" s="266"/>
      <c r="O344" s="266"/>
      <c r="P344" s="274"/>
      <c r="R344" s="266"/>
      <c r="S344" s="266"/>
      <c r="T344" s="266"/>
      <c r="U344" s="274"/>
      <c r="V344" s="274"/>
    </row>
    <row r="345" spans="2:22" ht="15.95" customHeight="1" x14ac:dyDescent="0.2">
      <c r="B345" s="274"/>
      <c r="C345" s="274"/>
      <c r="D345" s="275"/>
      <c r="E345" s="266"/>
      <c r="F345" s="266"/>
      <c r="G345" s="266"/>
      <c r="H345" s="266"/>
      <c r="I345" s="276"/>
      <c r="J345" s="266"/>
      <c r="K345" s="266"/>
      <c r="M345" s="266"/>
      <c r="N345" s="266"/>
      <c r="O345" s="266"/>
      <c r="P345" s="274"/>
      <c r="R345" s="266"/>
      <c r="S345" s="266"/>
      <c r="T345" s="266"/>
      <c r="U345" s="274"/>
      <c r="V345" s="274"/>
    </row>
    <row r="346" spans="2:22" ht="15.95" customHeight="1" x14ac:dyDescent="0.2">
      <c r="B346" s="274"/>
      <c r="C346" s="274"/>
      <c r="D346" s="275"/>
      <c r="E346" s="266"/>
      <c r="F346" s="266"/>
      <c r="G346" s="266"/>
      <c r="H346" s="266"/>
      <c r="I346" s="276"/>
      <c r="J346" s="266"/>
      <c r="K346" s="266"/>
      <c r="M346" s="266"/>
      <c r="N346" s="266"/>
      <c r="O346" s="266"/>
      <c r="P346" s="274"/>
      <c r="R346" s="266"/>
      <c r="S346" s="266"/>
      <c r="T346" s="266"/>
      <c r="U346" s="274"/>
      <c r="V346" s="274"/>
    </row>
    <row r="347" spans="2:22" ht="15.95" customHeight="1" x14ac:dyDescent="0.2">
      <c r="B347" s="274"/>
      <c r="C347" s="274"/>
      <c r="D347" s="275"/>
      <c r="E347" s="266"/>
      <c r="F347" s="266"/>
      <c r="G347" s="266"/>
      <c r="H347" s="266"/>
      <c r="I347" s="276"/>
      <c r="J347" s="266"/>
      <c r="K347" s="266"/>
      <c r="M347" s="266"/>
      <c r="N347" s="266"/>
      <c r="O347" s="266"/>
      <c r="P347" s="274"/>
      <c r="R347" s="266"/>
      <c r="S347" s="266"/>
      <c r="T347" s="266"/>
      <c r="U347" s="274"/>
      <c r="V347" s="274"/>
    </row>
    <row r="348" spans="2:22" ht="15.95" customHeight="1" x14ac:dyDescent="0.2">
      <c r="B348" s="274"/>
      <c r="C348" s="274"/>
      <c r="D348" s="275"/>
      <c r="E348" s="266"/>
      <c r="F348" s="266"/>
      <c r="G348" s="266"/>
      <c r="H348" s="266"/>
      <c r="I348" s="276"/>
      <c r="J348" s="266"/>
      <c r="K348" s="266"/>
      <c r="M348" s="266"/>
      <c r="N348" s="266"/>
      <c r="O348" s="266"/>
      <c r="P348" s="274"/>
      <c r="R348" s="266"/>
      <c r="S348" s="266"/>
      <c r="T348" s="266"/>
      <c r="U348" s="274"/>
      <c r="V348" s="274"/>
    </row>
    <row r="349" spans="2:22" ht="15.95" customHeight="1" x14ac:dyDescent="0.2">
      <c r="B349" s="274"/>
      <c r="C349" s="274"/>
      <c r="D349" s="275"/>
      <c r="E349" s="266"/>
      <c r="F349" s="266"/>
      <c r="G349" s="266"/>
      <c r="H349" s="266"/>
      <c r="I349" s="276"/>
      <c r="J349" s="266"/>
      <c r="K349" s="266"/>
      <c r="M349" s="266"/>
      <c r="N349" s="266"/>
      <c r="O349" s="266"/>
      <c r="P349" s="274"/>
      <c r="R349" s="266"/>
      <c r="S349" s="266"/>
      <c r="T349" s="266"/>
      <c r="U349" s="274"/>
      <c r="V349" s="274"/>
    </row>
    <row r="350" spans="2:22" ht="15.95" customHeight="1" x14ac:dyDescent="0.2">
      <c r="B350" s="274"/>
      <c r="C350" s="274"/>
      <c r="D350" s="275"/>
      <c r="E350" s="266"/>
      <c r="F350" s="266"/>
      <c r="G350" s="266"/>
      <c r="H350" s="266"/>
      <c r="I350" s="276"/>
      <c r="J350" s="266"/>
      <c r="K350" s="266"/>
      <c r="M350" s="266"/>
      <c r="N350" s="266"/>
      <c r="O350" s="266"/>
      <c r="P350" s="274"/>
      <c r="R350" s="266"/>
      <c r="S350" s="266"/>
      <c r="T350" s="266"/>
      <c r="U350" s="274"/>
      <c r="V350" s="274"/>
    </row>
    <row r="351" spans="2:22" ht="15.95" customHeight="1" x14ac:dyDescent="0.2">
      <c r="B351" s="274"/>
      <c r="C351" s="274"/>
      <c r="D351" s="275"/>
      <c r="E351" s="266"/>
      <c r="F351" s="266"/>
      <c r="G351" s="266"/>
      <c r="H351" s="266"/>
      <c r="I351" s="276"/>
      <c r="J351" s="266"/>
      <c r="K351" s="266"/>
      <c r="M351" s="266"/>
      <c r="N351" s="266"/>
      <c r="O351" s="266"/>
      <c r="P351" s="274"/>
      <c r="R351" s="266"/>
      <c r="S351" s="266"/>
      <c r="T351" s="266"/>
      <c r="U351" s="274"/>
      <c r="V351" s="274"/>
    </row>
    <row r="352" spans="2:22" ht="15.95" customHeight="1" x14ac:dyDescent="0.2">
      <c r="B352" s="274"/>
      <c r="C352" s="274"/>
      <c r="D352" s="275"/>
      <c r="E352" s="266"/>
      <c r="F352" s="266"/>
      <c r="G352" s="266"/>
      <c r="H352" s="266"/>
      <c r="I352" s="276"/>
      <c r="J352" s="266"/>
      <c r="K352" s="266"/>
      <c r="M352" s="266"/>
      <c r="N352" s="266"/>
      <c r="O352" s="266"/>
      <c r="P352" s="274"/>
      <c r="R352" s="266"/>
      <c r="S352" s="266"/>
      <c r="T352" s="266"/>
      <c r="U352" s="274"/>
      <c r="V352" s="274"/>
    </row>
    <row r="353" spans="2:22" ht="15.95" customHeight="1" x14ac:dyDescent="0.2">
      <c r="B353" s="274"/>
      <c r="C353" s="274"/>
      <c r="D353" s="275"/>
      <c r="E353" s="266"/>
      <c r="F353" s="266"/>
      <c r="G353" s="266"/>
      <c r="H353" s="266"/>
      <c r="I353" s="276"/>
      <c r="J353" s="266"/>
      <c r="K353" s="266"/>
      <c r="M353" s="266"/>
      <c r="N353" s="266"/>
      <c r="O353" s="266"/>
      <c r="P353" s="274"/>
      <c r="R353" s="266"/>
      <c r="S353" s="266"/>
      <c r="T353" s="266"/>
      <c r="U353" s="274"/>
      <c r="V353" s="274"/>
    </row>
    <row r="354" spans="2:22" ht="15.95" customHeight="1" x14ac:dyDescent="0.2">
      <c r="B354" s="274"/>
      <c r="C354" s="274"/>
      <c r="D354" s="275"/>
      <c r="E354" s="266"/>
      <c r="F354" s="266"/>
      <c r="G354" s="266"/>
      <c r="H354" s="266"/>
      <c r="I354" s="276"/>
      <c r="J354" s="266"/>
      <c r="K354" s="266"/>
      <c r="M354" s="266"/>
      <c r="N354" s="266"/>
      <c r="O354" s="266"/>
      <c r="P354" s="274"/>
      <c r="R354" s="266"/>
      <c r="S354" s="266"/>
      <c r="T354" s="266"/>
      <c r="U354" s="274"/>
      <c r="V354" s="274"/>
    </row>
    <row r="355" spans="2:22" ht="15.95" customHeight="1" x14ac:dyDescent="0.2">
      <c r="B355" s="274"/>
      <c r="C355" s="274"/>
      <c r="D355" s="275"/>
      <c r="E355" s="266"/>
      <c r="F355" s="266"/>
      <c r="G355" s="266"/>
      <c r="H355" s="266"/>
      <c r="I355" s="276"/>
      <c r="J355" s="266"/>
      <c r="K355" s="266"/>
      <c r="M355" s="266"/>
      <c r="N355" s="266"/>
      <c r="O355" s="266"/>
      <c r="P355" s="274"/>
      <c r="R355" s="266"/>
      <c r="S355" s="266"/>
      <c r="T355" s="266"/>
      <c r="U355" s="274"/>
      <c r="V355" s="274"/>
    </row>
    <row r="356" spans="2:22" ht="15.95" customHeight="1" x14ac:dyDescent="0.2">
      <c r="B356" s="274"/>
      <c r="C356" s="274"/>
      <c r="D356" s="275"/>
      <c r="E356" s="266"/>
      <c r="F356" s="266"/>
      <c r="G356" s="266"/>
      <c r="H356" s="266"/>
      <c r="I356" s="276"/>
      <c r="J356" s="266"/>
      <c r="K356" s="266"/>
      <c r="M356" s="266"/>
      <c r="N356" s="266"/>
      <c r="O356" s="266"/>
      <c r="P356" s="274"/>
      <c r="R356" s="266"/>
      <c r="S356" s="266"/>
      <c r="T356" s="266"/>
      <c r="U356" s="274"/>
      <c r="V356" s="274"/>
    </row>
    <row r="357" spans="2:22" ht="15.95" customHeight="1" x14ac:dyDescent="0.2">
      <c r="B357" s="274"/>
      <c r="C357" s="274"/>
      <c r="D357" s="275"/>
      <c r="E357" s="266"/>
      <c r="F357" s="266"/>
      <c r="G357" s="266"/>
      <c r="H357" s="266"/>
      <c r="I357" s="276"/>
      <c r="J357" s="266"/>
      <c r="K357" s="266"/>
      <c r="M357" s="266"/>
      <c r="N357" s="266"/>
      <c r="O357" s="266"/>
      <c r="P357" s="274"/>
      <c r="R357" s="266"/>
      <c r="S357" s="266"/>
      <c r="T357" s="266"/>
      <c r="U357" s="274"/>
      <c r="V357" s="274"/>
    </row>
  </sheetData>
  <pageMargins left="0.7" right="0.7" top="0.75" bottom="0.75" header="0" footer="0"/>
  <pageSetup orientation="landscape" r:id="rId1"/>
  <ignoredErrors>
    <ignoredError sqref="N43 N47 N63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3"/>
  <sheetViews>
    <sheetView topLeftCell="B7" zoomScaleNormal="100" workbookViewId="0">
      <pane xSplit="2" ySplit="1" topLeftCell="D53" activePane="bottomRight" state="frozen"/>
      <selection activeCell="B7" sqref="B7"/>
      <selection pane="topRight" activeCell="D7" sqref="D7"/>
      <selection pane="bottomLeft" activeCell="B8" sqref="B8"/>
      <selection pane="bottomRight" activeCell="E61" sqref="E61"/>
    </sheetView>
  </sheetViews>
  <sheetFormatPr defaultColWidth="12.625" defaultRowHeight="15.95" customHeight="1" x14ac:dyDescent="0.25"/>
  <cols>
    <col min="1" max="1" width="9.25" style="35" bestFit="1" customWidth="1"/>
    <col min="2" max="2" width="10.875" style="45" bestFit="1" customWidth="1"/>
    <col min="3" max="3" width="38.5" style="102" bestFit="1" customWidth="1"/>
    <col min="4" max="4" width="8.25" style="103" bestFit="1" customWidth="1"/>
    <col min="5" max="5" width="19.75" style="56" bestFit="1" customWidth="1"/>
    <col min="6" max="6" width="15.875" style="122" bestFit="1" customWidth="1"/>
    <col min="7" max="7" width="10.25" style="104" customWidth="1"/>
    <col min="8" max="8" width="13" style="56" customWidth="1"/>
    <col min="9" max="9" width="11.5" style="121" bestFit="1" customWidth="1"/>
    <col min="10" max="10" width="18" style="56" bestFit="1" customWidth="1"/>
    <col min="11" max="11" width="19.75" style="56" bestFit="1" customWidth="1"/>
    <col min="12" max="12" width="10.375" style="61" customWidth="1"/>
    <col min="13" max="14" width="19.75" style="105" bestFit="1" customWidth="1"/>
    <col min="15" max="15" width="7.625" style="132" customWidth="1"/>
    <col min="16" max="25" width="7.625" style="35" customWidth="1"/>
    <col min="26" max="16384" width="12.625" style="35"/>
  </cols>
  <sheetData>
    <row r="2" spans="2:15" ht="15.95" customHeight="1" x14ac:dyDescent="0.25">
      <c r="B2" s="45" t="s">
        <v>41</v>
      </c>
      <c r="C2" s="102" t="s">
        <v>42</v>
      </c>
    </row>
    <row r="3" spans="2:15" ht="15.95" customHeight="1" x14ac:dyDescent="0.25">
      <c r="B3" s="45" t="s">
        <v>2</v>
      </c>
      <c r="C3" s="102" t="s">
        <v>43</v>
      </c>
    </row>
    <row r="4" spans="2:15" ht="15.95" customHeight="1" x14ac:dyDescent="0.25">
      <c r="B4" s="71"/>
    </row>
    <row r="5" spans="2:15" ht="15.95" customHeight="1" x14ac:dyDescent="0.25">
      <c r="B5" s="71"/>
    </row>
    <row r="6" spans="2:15" ht="15.95" customHeight="1" x14ac:dyDescent="0.25">
      <c r="B6" s="136" t="s">
        <v>48</v>
      </c>
    </row>
    <row r="7" spans="2:15" ht="30" x14ac:dyDescent="0.25">
      <c r="B7" s="72" t="s">
        <v>5</v>
      </c>
      <c r="C7" s="73" t="s">
        <v>6</v>
      </c>
      <c r="D7" s="74" t="s">
        <v>50</v>
      </c>
      <c r="E7" s="10" t="s">
        <v>51</v>
      </c>
      <c r="F7" s="98" t="s">
        <v>45</v>
      </c>
      <c r="G7" s="75" t="s">
        <v>52</v>
      </c>
      <c r="H7" s="10" t="s">
        <v>49</v>
      </c>
      <c r="I7" s="99" t="s">
        <v>46</v>
      </c>
      <c r="J7" s="76" t="s">
        <v>53</v>
      </c>
      <c r="K7" s="77" t="s">
        <v>54</v>
      </c>
      <c r="L7" s="100" t="s">
        <v>422</v>
      </c>
      <c r="M7" s="76" t="s">
        <v>56</v>
      </c>
      <c r="N7" s="76" t="s">
        <v>55</v>
      </c>
      <c r="O7" s="101" t="s">
        <v>47</v>
      </c>
    </row>
    <row r="8" spans="2:15" ht="15.95" customHeight="1" x14ac:dyDescent="0.25">
      <c r="B8" s="140" t="str">
        <f>'X3'!B8</f>
        <v>AALI</v>
      </c>
      <c r="C8" s="78" t="s">
        <v>16</v>
      </c>
      <c r="D8" s="106">
        <v>47218</v>
      </c>
      <c r="E8" s="107">
        <v>19084387000000</v>
      </c>
      <c r="F8" s="123">
        <f t="shared" ref="F8:F71" si="0">D8/E8</f>
        <v>2.4741690681497919E-9</v>
      </c>
      <c r="G8" s="108">
        <v>11825</v>
      </c>
      <c r="H8" s="109">
        <v>10118</v>
      </c>
      <c r="I8" s="124">
        <f t="shared" ref="I8:I39" si="1">G8/H8</f>
        <v>1.1687092310733347</v>
      </c>
      <c r="J8" s="111">
        <v>0</v>
      </c>
      <c r="K8" s="110">
        <f t="shared" ref="K8:K39" si="2">E8</f>
        <v>19084387000000</v>
      </c>
      <c r="L8" s="127">
        <f t="shared" ref="L8:L71" si="3">J8/K8</f>
        <v>0</v>
      </c>
      <c r="M8" s="111">
        <v>10219013000000</v>
      </c>
      <c r="N8" s="111">
        <v>26856967000000</v>
      </c>
      <c r="O8" s="133">
        <f>M8/N8</f>
        <v>0.38049765634369659</v>
      </c>
    </row>
    <row r="9" spans="2:15" ht="15.95" customHeight="1" x14ac:dyDescent="0.25">
      <c r="B9" s="140" t="str">
        <f>'X3'!B9</f>
        <v>BISI</v>
      </c>
      <c r="C9" s="78" t="s">
        <v>25</v>
      </c>
      <c r="D9" s="106">
        <v>702</v>
      </c>
      <c r="E9" s="107">
        <v>2265615000000</v>
      </c>
      <c r="F9" s="123">
        <f t="shared" si="0"/>
        <v>3.0984964347428846E-10</v>
      </c>
      <c r="G9" s="112">
        <v>1675</v>
      </c>
      <c r="H9" s="110">
        <v>769</v>
      </c>
      <c r="I9" s="124">
        <f t="shared" si="1"/>
        <v>2.1781534460338103</v>
      </c>
      <c r="J9" s="110">
        <v>0</v>
      </c>
      <c r="K9" s="110">
        <f t="shared" si="2"/>
        <v>2265615000000</v>
      </c>
      <c r="L9" s="127">
        <f t="shared" si="3"/>
        <v>0</v>
      </c>
      <c r="M9" s="111">
        <v>498764000000</v>
      </c>
      <c r="N9" s="111">
        <v>2765010000000</v>
      </c>
      <c r="O9" s="133">
        <f>M9/N9</f>
        <v>0.18038415774264832</v>
      </c>
    </row>
    <row r="10" spans="2:15" ht="15.95" customHeight="1" x14ac:dyDescent="0.25">
      <c r="B10" s="140" t="str">
        <f>'X3'!B10</f>
        <v>UNSP</v>
      </c>
      <c r="C10" s="78" t="s">
        <v>28</v>
      </c>
      <c r="D10" s="106">
        <v>8512</v>
      </c>
      <c r="E10" s="107">
        <v>1951840000000</v>
      </c>
      <c r="F10" s="123">
        <f t="shared" si="0"/>
        <v>4.3610131978030987E-9</v>
      </c>
      <c r="G10" s="112">
        <v>107</v>
      </c>
      <c r="H10" s="110">
        <v>-573</v>
      </c>
      <c r="I10" s="124">
        <f t="shared" si="1"/>
        <v>-0.18673647469458987</v>
      </c>
      <c r="J10" s="110">
        <v>0</v>
      </c>
      <c r="K10" s="110">
        <f t="shared" si="2"/>
        <v>1951840000000</v>
      </c>
      <c r="L10" s="127">
        <f t="shared" si="3"/>
        <v>0</v>
      </c>
      <c r="M10" s="111">
        <f xml:space="preserve"> 7440442000000</f>
        <v>7440442000000</v>
      </c>
      <c r="N10" s="111">
        <f>13363483000000</f>
        <v>13363483000000</v>
      </c>
      <c r="O10" s="133">
        <f>M10/N10</f>
        <v>0.55677415835377653</v>
      </c>
    </row>
    <row r="11" spans="2:15" ht="15.95" customHeight="1" x14ac:dyDescent="0.25">
      <c r="B11" s="140" t="str">
        <f>'X3'!B11</f>
        <v>BWPT</v>
      </c>
      <c r="C11" s="49" t="s">
        <v>58</v>
      </c>
      <c r="D11" s="106">
        <v>1017</v>
      </c>
      <c r="E11" s="107">
        <v>3083389000000</v>
      </c>
      <c r="F11" s="123">
        <f>D11/E11</f>
        <v>3.2983188303519278E-10</v>
      </c>
      <c r="G11" s="112">
        <v>164</v>
      </c>
      <c r="H11" s="110">
        <v>183</v>
      </c>
      <c r="I11" s="124">
        <f t="shared" si="1"/>
        <v>0.89617486338797814</v>
      </c>
      <c r="J11" s="110">
        <v>0</v>
      </c>
      <c r="K11" s="110">
        <f t="shared" si="2"/>
        <v>3083389000000</v>
      </c>
      <c r="L11" s="127">
        <f t="shared" si="3"/>
        <v>0</v>
      </c>
      <c r="M11" s="111">
        <v>14410478000000</v>
      </c>
      <c r="N11" s="111">
        <v>16163267000000</v>
      </c>
      <c r="O11" s="133">
        <f>M11/N11</f>
        <v>0.89155725757670157</v>
      </c>
    </row>
    <row r="12" spans="2:15" ht="15.95" customHeight="1" x14ac:dyDescent="0.25">
      <c r="B12" s="140" t="str">
        <f>'X3'!B12</f>
        <v>DSNG</v>
      </c>
      <c r="C12" s="42" t="s">
        <v>75</v>
      </c>
      <c r="D12" s="106">
        <v>17391</v>
      </c>
      <c r="E12" s="107">
        <v>4761805000000</v>
      </c>
      <c r="F12" s="123">
        <f>D12/E12</f>
        <v>3.6521865133074539E-9</v>
      </c>
      <c r="G12" s="113">
        <v>410</v>
      </c>
      <c r="H12" s="110">
        <v>345</v>
      </c>
      <c r="I12" s="124">
        <f t="shared" si="1"/>
        <v>1.1884057971014492</v>
      </c>
      <c r="J12" s="110">
        <v>0</v>
      </c>
      <c r="K12" s="110">
        <f t="shared" si="2"/>
        <v>4761805000000</v>
      </c>
      <c r="L12" s="127">
        <f t="shared" si="3"/>
        <v>0</v>
      </c>
      <c r="M12" s="111">
        <v>2998657000000</v>
      </c>
      <c r="N12" s="111">
        <v>11738892000000</v>
      </c>
      <c r="O12" s="133">
        <f>M12/N12</f>
        <v>0.25544634025085161</v>
      </c>
    </row>
    <row r="13" spans="2:15" ht="15.95" customHeight="1" x14ac:dyDescent="0.25">
      <c r="B13" s="140" t="str">
        <f>'X3'!B13</f>
        <v>LSIP</v>
      </c>
      <c r="C13" s="42" t="str">
        <f>'X3'!C13</f>
        <v>PT PP LONDON SUMATERA INDONESIA</v>
      </c>
      <c r="D13" s="106">
        <v>15303</v>
      </c>
      <c r="E13" s="107">
        <v>4019846000000</v>
      </c>
      <c r="F13" s="123">
        <f t="shared" si="0"/>
        <v>3.8068622529320779E-9</v>
      </c>
      <c r="G13" s="113">
        <v>1250</v>
      </c>
      <c r="H13" s="110">
        <v>1221</v>
      </c>
      <c r="I13" s="124">
        <f t="shared" si="1"/>
        <v>1.0237510237510237</v>
      </c>
      <c r="J13" s="110">
        <v>0</v>
      </c>
      <c r="K13" s="110">
        <f t="shared" si="2"/>
        <v>4019846000000</v>
      </c>
      <c r="L13" s="127">
        <f t="shared" si="3"/>
        <v>0</v>
      </c>
      <c r="M13" s="111">
        <v>6234540000000</v>
      </c>
      <c r="N13" s="111">
        <v>10037294000000</v>
      </c>
      <c r="O13" s="133">
        <f t="shared" ref="O13:O76" si="4">M13/N13</f>
        <v>0.62113752969674896</v>
      </c>
    </row>
    <row r="14" spans="2:15" ht="15.95" customHeight="1" x14ac:dyDescent="0.25">
      <c r="B14" s="140" t="str">
        <f>'X3'!B14</f>
        <v>SGRO</v>
      </c>
      <c r="C14" s="42" t="str">
        <f>'X3'!C14</f>
        <v>SAMPOERNA AGRO TBK</v>
      </c>
      <c r="D14" s="106">
        <v>8542</v>
      </c>
      <c r="E14" s="107">
        <v>3207181767000</v>
      </c>
      <c r="F14" s="123">
        <f t="shared" si="0"/>
        <v>2.6633975310947819E-9</v>
      </c>
      <c r="G14" s="113">
        <v>2370</v>
      </c>
      <c r="H14" s="110">
        <v>2131</v>
      </c>
      <c r="I14" s="124">
        <f t="shared" si="1"/>
        <v>1.1121539183481934</v>
      </c>
      <c r="J14" s="110">
        <v>0</v>
      </c>
      <c r="K14" s="110">
        <f t="shared" si="2"/>
        <v>3207181767000</v>
      </c>
      <c r="L14" s="127">
        <f t="shared" si="3"/>
        <v>0</v>
      </c>
      <c r="M14" s="111">
        <v>2121688781000</v>
      </c>
      <c r="N14" s="111">
        <v>9018844952000</v>
      </c>
      <c r="O14" s="133">
        <f t="shared" si="4"/>
        <v>0.23525061050411991</v>
      </c>
    </row>
    <row r="15" spans="2:15" ht="15.95" customHeight="1" x14ac:dyDescent="0.25">
      <c r="B15" s="140" t="str">
        <f>'X3'!B15</f>
        <v>SIMP</v>
      </c>
      <c r="C15" s="42" t="str">
        <f>'X3'!C15</f>
        <v>SALIM IVOMAS PRATAMA Tbk</v>
      </c>
      <c r="D15" s="106">
        <v>38270</v>
      </c>
      <c r="E15" s="107">
        <v>14059450000000</v>
      </c>
      <c r="F15" s="123">
        <f t="shared" si="0"/>
        <v>2.7220125965098208E-9</v>
      </c>
      <c r="G15" s="113">
        <v>460</v>
      </c>
      <c r="H15" s="110">
        <v>1156</v>
      </c>
      <c r="I15" s="124">
        <f t="shared" si="1"/>
        <v>0.39792387543252594</v>
      </c>
      <c r="J15" s="110">
        <v>110073000000</v>
      </c>
      <c r="K15" s="110">
        <f t="shared" si="2"/>
        <v>14059450000000</v>
      </c>
      <c r="L15" s="127">
        <f t="shared" si="3"/>
        <v>7.8291113806016593E-3</v>
      </c>
      <c r="M15" s="111">
        <v>20065928000000</v>
      </c>
      <c r="N15" s="111">
        <v>34666506000000</v>
      </c>
      <c r="O15" s="133">
        <f t="shared" si="4"/>
        <v>0.5788275287968162</v>
      </c>
    </row>
    <row r="16" spans="2:15" ht="15.95" customHeight="1" x14ac:dyDescent="0.25">
      <c r="B16" s="140" t="str">
        <f>'X3'!B16</f>
        <v>SSMS</v>
      </c>
      <c r="C16" s="42" t="str">
        <f>'X3'!C16</f>
        <v>SAWIT SUMBERMAS SARANA</v>
      </c>
      <c r="D16" s="106">
        <v>6835</v>
      </c>
      <c r="E16" s="107">
        <v>3710780545000</v>
      </c>
      <c r="F16" s="123">
        <f t="shared" si="0"/>
        <v>1.8419305364769288E-9</v>
      </c>
      <c r="G16" s="113">
        <v>1250</v>
      </c>
      <c r="H16" s="110">
        <v>427</v>
      </c>
      <c r="I16" s="124">
        <f t="shared" si="1"/>
        <v>2.9274004683840751</v>
      </c>
      <c r="J16" s="110">
        <v>0</v>
      </c>
      <c r="K16" s="110">
        <f t="shared" si="2"/>
        <v>3710780545000</v>
      </c>
      <c r="L16" s="127">
        <f t="shared" si="3"/>
        <v>0</v>
      </c>
      <c r="M16" s="111">
        <v>4579445684000</v>
      </c>
      <c r="N16" s="111">
        <v>11296112298000</v>
      </c>
      <c r="O16" s="133">
        <f t="shared" si="4"/>
        <v>0.40540015566336041</v>
      </c>
    </row>
    <row r="17" spans="2:15" ht="15.95" customHeight="1" x14ac:dyDescent="0.25">
      <c r="B17" s="142" t="str">
        <f>'X3'!B17</f>
        <v>BUDI</v>
      </c>
      <c r="C17" s="42" t="str">
        <f>'X3'!C17</f>
        <v>BUDI STARCH &amp; SWEETENER</v>
      </c>
      <c r="D17" s="106">
        <v>1751</v>
      </c>
      <c r="E17" s="107">
        <v>2647193000000</v>
      </c>
      <c r="F17" s="123">
        <f t="shared" si="0"/>
        <v>6.6145536045161799E-10</v>
      </c>
      <c r="G17" s="113">
        <v>96</v>
      </c>
      <c r="H17" s="110">
        <v>272</v>
      </c>
      <c r="I17" s="124">
        <f t="shared" si="1"/>
        <v>0.35294117647058826</v>
      </c>
      <c r="J17" s="110">
        <v>1414000000</v>
      </c>
      <c r="K17" s="110">
        <f t="shared" si="2"/>
        <v>2647193000000</v>
      </c>
      <c r="L17" s="127">
        <f t="shared" si="3"/>
        <v>5.3415070227218035E-4</v>
      </c>
      <c r="M17" s="111">
        <v>1871467000000</v>
      </c>
      <c r="N17" s="111">
        <v>3392980000000</v>
      </c>
      <c r="O17" s="133">
        <f t="shared" si="4"/>
        <v>0.55157030103330995</v>
      </c>
    </row>
    <row r="18" spans="2:15" ht="15.95" customHeight="1" x14ac:dyDescent="0.25">
      <c r="B18" s="143" t="str">
        <f>'X3'!B18</f>
        <v>CEKA</v>
      </c>
      <c r="C18" s="42" t="str">
        <f>'X3'!C18</f>
        <v>WILMAR CAHAYA INDONESIA</v>
      </c>
      <c r="D18" s="106">
        <v>390</v>
      </c>
      <c r="E18" s="107">
        <v>3629327583572</v>
      </c>
      <c r="F18" s="123">
        <f t="shared" si="0"/>
        <v>1.0745792189311286E-10</v>
      </c>
      <c r="G18" s="113">
        <v>1375</v>
      </c>
      <c r="H18" s="110">
        <v>1641</v>
      </c>
      <c r="I18" s="124">
        <f t="shared" si="1"/>
        <v>0.83790371724558199</v>
      </c>
      <c r="J18" s="110">
        <v>0</v>
      </c>
      <c r="K18" s="110">
        <f t="shared" si="2"/>
        <v>3629327583572</v>
      </c>
      <c r="L18" s="127">
        <f t="shared" si="3"/>
        <v>0</v>
      </c>
      <c r="M18" s="111">
        <v>200024117988</v>
      </c>
      <c r="N18" s="111">
        <v>1168956042706</v>
      </c>
      <c r="O18" s="133">
        <f t="shared" si="4"/>
        <v>0.17111346421972118</v>
      </c>
    </row>
    <row r="19" spans="2:15" ht="15.95" customHeight="1" x14ac:dyDescent="0.25">
      <c r="B19" s="143" t="str">
        <f>'X3'!B19</f>
        <v>DVLA</v>
      </c>
      <c r="C19" s="42" t="str">
        <f>'X3'!C19</f>
        <v>DARYA VARIA LABORATORIA</v>
      </c>
      <c r="D19" s="106">
        <v>1200</v>
      </c>
      <c r="E19" s="107">
        <v>1699657296000</v>
      </c>
      <c r="F19" s="123">
        <f t="shared" si="0"/>
        <v>7.060246808719021E-10</v>
      </c>
      <c r="G19" s="113">
        <v>1940</v>
      </c>
      <c r="H19" s="110">
        <v>1071</v>
      </c>
      <c r="I19" s="124">
        <f t="shared" si="1"/>
        <v>1.811391223155929</v>
      </c>
      <c r="J19" s="110">
        <v>256728673000</v>
      </c>
      <c r="K19" s="110">
        <f t="shared" si="2"/>
        <v>1699657296000</v>
      </c>
      <c r="L19" s="127">
        <f t="shared" si="3"/>
        <v>0.15104731618790992</v>
      </c>
      <c r="M19" s="111">
        <v>394751573000</v>
      </c>
      <c r="N19" s="111">
        <v>1682821739000</v>
      </c>
      <c r="O19" s="133">
        <f t="shared" si="4"/>
        <v>0.23457717704227971</v>
      </c>
    </row>
    <row r="20" spans="2:15" ht="15.95" customHeight="1" x14ac:dyDescent="0.25">
      <c r="B20" s="143" t="str">
        <f>'X3'!B20</f>
        <v>GGRM</v>
      </c>
      <c r="C20" s="42" t="str">
        <f>'X3'!C20</f>
        <v>PT GUDANG GARAM</v>
      </c>
      <c r="D20" s="106">
        <v>33575</v>
      </c>
      <c r="E20" s="107">
        <v>95707663000000</v>
      </c>
      <c r="F20" s="123">
        <f t="shared" si="0"/>
        <v>3.5080785537517512E-10</v>
      </c>
      <c r="G20" s="113">
        <v>83625</v>
      </c>
      <c r="H20" s="110">
        <v>23456</v>
      </c>
      <c r="I20" s="124">
        <f t="shared" si="1"/>
        <v>3.5651858799454299</v>
      </c>
      <c r="J20" s="110">
        <v>2460651000000</v>
      </c>
      <c r="K20" s="110">
        <f t="shared" si="2"/>
        <v>95707663000000</v>
      </c>
      <c r="L20" s="127">
        <f t="shared" si="3"/>
        <v>2.5710072975034401E-2</v>
      </c>
      <c r="M20" s="111">
        <v>22758558000000</v>
      </c>
      <c r="N20" s="111">
        <v>69097219000000</v>
      </c>
      <c r="O20" s="133">
        <f t="shared" si="4"/>
        <v>0.32937010098771125</v>
      </c>
    </row>
    <row r="21" spans="2:15" ht="15.95" customHeight="1" x14ac:dyDescent="0.25">
      <c r="B21" s="143" t="str">
        <f>'X3'!B21</f>
        <v>HMSP</v>
      </c>
      <c r="C21" s="42" t="str">
        <f>'X3'!C21</f>
        <v>PT HANJAYA MANDALA SAMPOERNA</v>
      </c>
      <c r="D21" s="106">
        <v>25943</v>
      </c>
      <c r="E21" s="107">
        <v>106741891000000</v>
      </c>
      <c r="F21" s="123">
        <f t="shared" si="0"/>
        <v>2.4304422337805502E-10</v>
      </c>
      <c r="G21" s="112">
        <v>3710</v>
      </c>
      <c r="H21" s="110">
        <v>303</v>
      </c>
      <c r="I21" s="124">
        <f t="shared" si="1"/>
        <v>12.244224422442244</v>
      </c>
      <c r="J21" s="110">
        <v>2495852000000</v>
      </c>
      <c r="K21" s="110">
        <f t="shared" si="2"/>
        <v>106741891000000</v>
      </c>
      <c r="L21" s="127">
        <f t="shared" si="3"/>
        <v>2.3382122769400816E-2</v>
      </c>
      <c r="M21" s="111">
        <f>7288435000000</f>
        <v>7288435000000</v>
      </c>
      <c r="N21" s="111">
        <v>46602420000000</v>
      </c>
      <c r="O21" s="133">
        <f t="shared" si="4"/>
        <v>0.15639606269373993</v>
      </c>
    </row>
    <row r="22" spans="2:15" ht="15.95" customHeight="1" x14ac:dyDescent="0.25">
      <c r="B22" s="143" t="str">
        <f>'X3'!B22</f>
        <v>ICBP</v>
      </c>
      <c r="C22" s="42" t="str">
        <f>'X3'!C22</f>
        <v>INDOFOOD CBP SUKSES MAKMUR</v>
      </c>
      <c r="D22" s="106">
        <v>31119</v>
      </c>
      <c r="E22" s="107">
        <v>38413407000000</v>
      </c>
      <c r="F22" s="123">
        <f t="shared" si="0"/>
        <v>8.1010778346216471E-10</v>
      </c>
      <c r="G22" s="112">
        <v>10450</v>
      </c>
      <c r="H22" s="110">
        <v>1947</v>
      </c>
      <c r="I22" s="124">
        <f t="shared" si="1"/>
        <v>5.3672316384180787</v>
      </c>
      <c r="J22" s="110">
        <v>1359350000000</v>
      </c>
      <c r="K22" s="110">
        <f t="shared" si="2"/>
        <v>38413407000000</v>
      </c>
      <c r="L22" s="127">
        <f t="shared" si="3"/>
        <v>3.5387384409823371E-2</v>
      </c>
      <c r="M22" s="111">
        <v>10741622000000</v>
      </c>
      <c r="N22" s="111">
        <v>34367153000000</v>
      </c>
      <c r="O22" s="133">
        <f t="shared" si="4"/>
        <v>0.31255489798645819</v>
      </c>
    </row>
    <row r="23" spans="2:15" ht="15.95" customHeight="1" x14ac:dyDescent="0.25">
      <c r="B23" s="143" t="str">
        <f>'X3'!B23</f>
        <v>INDF</v>
      </c>
      <c r="C23" s="42" t="str">
        <f>'X3'!C23</f>
        <v>PT INDOFOOD SUKSES MAKMUR</v>
      </c>
      <c r="D23" s="106">
        <v>91217</v>
      </c>
      <c r="E23" s="107">
        <v>73394728000000</v>
      </c>
      <c r="F23" s="123">
        <f t="shared" si="0"/>
        <v>1.2428276864790615E-9</v>
      </c>
      <c r="G23" s="112">
        <v>7450</v>
      </c>
      <c r="H23" s="110">
        <v>5685</v>
      </c>
      <c r="I23" s="124">
        <f t="shared" si="1"/>
        <v>1.3104661389621812</v>
      </c>
      <c r="J23" s="110">
        <v>1552179000000</v>
      </c>
      <c r="K23" s="110">
        <f t="shared" si="2"/>
        <v>73394728000000</v>
      </c>
      <c r="L23" s="127">
        <f t="shared" si="3"/>
        <v>2.1148371855809589E-2</v>
      </c>
      <c r="M23" s="111">
        <v>42388236000000</v>
      </c>
      <c r="N23" s="111">
        <v>96537796000000</v>
      </c>
      <c r="O23" s="133">
        <f t="shared" si="4"/>
        <v>0.4390843561417126</v>
      </c>
    </row>
    <row r="24" spans="2:15" ht="15.95" customHeight="1" x14ac:dyDescent="0.25">
      <c r="B24" s="143" t="str">
        <f>'X3'!B24</f>
        <v>KICI</v>
      </c>
      <c r="C24" s="42" t="str">
        <f>'X3'!C24</f>
        <v>PT KEDAUNG INDAH CAN</v>
      </c>
      <c r="D24" s="106">
        <v>682</v>
      </c>
      <c r="E24" s="107">
        <v>86916161329</v>
      </c>
      <c r="F24" s="123">
        <f t="shared" si="0"/>
        <v>7.8466419774160841E-9</v>
      </c>
      <c r="G24" s="112">
        <v>284</v>
      </c>
      <c r="H24" s="110">
        <v>342</v>
      </c>
      <c r="I24" s="124">
        <f t="shared" si="1"/>
        <v>0.83040935672514615</v>
      </c>
      <c r="J24" s="110">
        <v>0</v>
      </c>
      <c r="K24" s="110">
        <f t="shared" si="2"/>
        <v>86916161329</v>
      </c>
      <c r="L24" s="127">
        <f t="shared" si="3"/>
        <v>0</v>
      </c>
      <c r="M24" s="111">
        <v>43041846123</v>
      </c>
      <c r="N24" s="111">
        <v>1540888747766</v>
      </c>
      <c r="O24" s="133">
        <f t="shared" si="4"/>
        <v>2.7933130270048772E-2</v>
      </c>
    </row>
    <row r="25" spans="2:15" ht="15.95" customHeight="1" x14ac:dyDescent="0.25">
      <c r="B25" s="143" t="str">
        <f>'X3'!B25</f>
        <v>KLBF</v>
      </c>
      <c r="C25" s="42" t="str">
        <f>'X3'!C25</f>
        <v>PT KALBE FARMA</v>
      </c>
      <c r="D25" s="106">
        <v>12575</v>
      </c>
      <c r="E25" s="107">
        <v>21074306186027</v>
      </c>
      <c r="F25" s="123">
        <f t="shared" si="0"/>
        <v>5.9669817307379089E-10</v>
      </c>
      <c r="G25" s="112">
        <v>1520</v>
      </c>
      <c r="H25" s="110">
        <v>326</v>
      </c>
      <c r="I25" s="124">
        <f t="shared" si="1"/>
        <v>4.6625766871165641</v>
      </c>
      <c r="J25" s="110">
        <v>28376891330</v>
      </c>
      <c r="K25" s="110">
        <f t="shared" si="2"/>
        <v>21074306186027</v>
      </c>
      <c r="L25" s="127">
        <f t="shared" si="3"/>
        <v>1.3465160408846516E-3</v>
      </c>
      <c r="M25" s="111">
        <v>6252801150475</v>
      </c>
      <c r="N25" s="111">
        <v>18146206145369</v>
      </c>
      <c r="O25" s="133">
        <f t="shared" si="4"/>
        <v>0.34457897702604601</v>
      </c>
    </row>
    <row r="26" spans="2:15" ht="15.95" customHeight="1" x14ac:dyDescent="0.25">
      <c r="B26" s="143" t="str">
        <f>'X3'!B26</f>
        <v>MBTO</v>
      </c>
      <c r="C26" s="42" t="str">
        <f>'X3'!C26</f>
        <v>PT MARTINA BERTO</v>
      </c>
      <c r="D26" s="106">
        <v>641</v>
      </c>
      <c r="E26" s="107">
        <v>502517714607</v>
      </c>
      <c r="F26" s="123">
        <f t="shared" si="0"/>
        <v>1.2755769226987386E-9</v>
      </c>
      <c r="G26" s="112">
        <v>126</v>
      </c>
      <c r="H26" s="47">
        <v>280</v>
      </c>
      <c r="I26" s="124">
        <f t="shared" si="1"/>
        <v>0.45</v>
      </c>
      <c r="J26" s="110">
        <v>88382904398</v>
      </c>
      <c r="K26" s="110">
        <f t="shared" si="2"/>
        <v>502517714607</v>
      </c>
      <c r="L26" s="127">
        <f t="shared" si="3"/>
        <v>0.17588017661650179</v>
      </c>
      <c r="M26" s="114">
        <v>134332773420</v>
      </c>
      <c r="N26" s="114">
        <v>648016880325</v>
      </c>
      <c r="O26" s="133">
        <f t="shared" si="4"/>
        <v>0.20729826258943759</v>
      </c>
    </row>
    <row r="27" spans="2:15" ht="15.95" customHeight="1" x14ac:dyDescent="0.25">
      <c r="B27" s="143" t="str">
        <f>'X3'!B27</f>
        <v>KINO</v>
      </c>
      <c r="C27" s="42" t="str">
        <f>'X3'!C27</f>
        <v>PT KINO INDONESIA</v>
      </c>
      <c r="D27" s="106">
        <v>6459</v>
      </c>
      <c r="E27" s="107">
        <v>3611694059699</v>
      </c>
      <c r="F27" s="123">
        <f t="shared" si="0"/>
        <v>1.7883574558744037E-9</v>
      </c>
      <c r="G27" s="112">
        <v>2800</v>
      </c>
      <c r="H27" s="110">
        <v>1530</v>
      </c>
      <c r="I27" s="124">
        <f t="shared" si="1"/>
        <v>1.8300653594771241</v>
      </c>
      <c r="J27" s="110">
        <v>751120415167</v>
      </c>
      <c r="K27" s="110">
        <f t="shared" si="2"/>
        <v>3611694059699</v>
      </c>
      <c r="L27" s="127">
        <f t="shared" si="3"/>
        <v>0.20796900367291871</v>
      </c>
      <c r="M27" s="111">
        <v>1416998860302</v>
      </c>
      <c r="N27" s="111">
        <v>3592164205408</v>
      </c>
      <c r="O27" s="133">
        <f t="shared" si="4"/>
        <v>0.39446940041569079</v>
      </c>
    </row>
    <row r="28" spans="2:15" ht="15.95" customHeight="1" x14ac:dyDescent="0.25">
      <c r="B28" s="143" t="str">
        <f>'X3'!B28</f>
        <v>MLBI</v>
      </c>
      <c r="C28" s="42" t="str">
        <f>'X3'!C28</f>
        <v>PT MULTI BINTANG INDONESIA</v>
      </c>
      <c r="D28" s="106">
        <v>465</v>
      </c>
      <c r="E28" s="107">
        <v>3574801000000</v>
      </c>
      <c r="F28" s="123">
        <f t="shared" si="0"/>
        <v>1.300771707292238E-10</v>
      </c>
      <c r="G28" s="112">
        <v>16000</v>
      </c>
      <c r="H28" s="110">
        <v>554</v>
      </c>
      <c r="I28" s="124">
        <f t="shared" si="1"/>
        <v>28.880866425992778</v>
      </c>
      <c r="J28" s="110">
        <v>224431000000</v>
      </c>
      <c r="K28" s="110">
        <f t="shared" si="2"/>
        <v>3574801000000</v>
      </c>
      <c r="L28" s="127">
        <f t="shared" si="3"/>
        <v>6.2781396782646076E-2</v>
      </c>
      <c r="M28" s="111">
        <v>1349639000000</v>
      </c>
      <c r="N28" s="111">
        <v>2258297000000</v>
      </c>
      <c r="O28" s="133">
        <f t="shared" si="4"/>
        <v>0.59763574056025404</v>
      </c>
    </row>
    <row r="29" spans="2:15" ht="15.95" customHeight="1" x14ac:dyDescent="0.25">
      <c r="B29" s="143" t="str">
        <f>'X3'!B29</f>
        <v>MRAT</v>
      </c>
      <c r="C29" s="42" t="str">
        <f>'X3'!C29</f>
        <v>PT MUSTIKA RATU</v>
      </c>
      <c r="D29" s="106">
        <v>1828</v>
      </c>
      <c r="E29" s="107">
        <v>300572751733</v>
      </c>
      <c r="F29" s="123">
        <f t="shared" si="0"/>
        <v>6.0817222767545467E-9</v>
      </c>
      <c r="G29" s="112">
        <v>179</v>
      </c>
      <c r="H29" s="110">
        <v>859</v>
      </c>
      <c r="I29" s="124">
        <f t="shared" si="1"/>
        <v>0.20838183934807916</v>
      </c>
      <c r="J29" s="110">
        <v>39217900119</v>
      </c>
      <c r="K29" s="110">
        <f t="shared" si="2"/>
        <v>300572751733</v>
      </c>
      <c r="L29" s="127">
        <f t="shared" si="3"/>
        <v>0.13047723019762422</v>
      </c>
      <c r="M29" s="111">
        <v>59744095869</v>
      </c>
      <c r="N29" s="111">
        <v>511887783867</v>
      </c>
      <c r="O29" s="133">
        <f t="shared" si="4"/>
        <v>0.11671326754014287</v>
      </c>
    </row>
    <row r="30" spans="2:15" ht="15.95" customHeight="1" x14ac:dyDescent="0.25">
      <c r="B30" s="143" t="str">
        <f>'X3'!B30</f>
        <v>MYOR</v>
      </c>
      <c r="C30" s="42" t="str">
        <f>'X3'!C30</f>
        <v>PT MAYORA INDAH</v>
      </c>
      <c r="D30" s="106">
        <v>10605</v>
      </c>
      <c r="E30" s="107">
        <v>24060802395725</v>
      </c>
      <c r="F30" s="123">
        <f t="shared" si="0"/>
        <v>4.4075836813672688E-10</v>
      </c>
      <c r="G30" s="112">
        <v>2620</v>
      </c>
      <c r="H30" s="110">
        <v>382</v>
      </c>
      <c r="I30" s="124">
        <f t="shared" si="1"/>
        <v>6.8586387434554972</v>
      </c>
      <c r="J30" s="110">
        <v>2431032910641</v>
      </c>
      <c r="K30" s="110">
        <f t="shared" si="2"/>
        <v>24060802395725</v>
      </c>
      <c r="L30" s="127">
        <f t="shared" si="3"/>
        <v>0.10103706728720457</v>
      </c>
      <c r="M30" s="111">
        <v>4258300525120</v>
      </c>
      <c r="N30" s="111">
        <v>17591706426634</v>
      </c>
      <c r="O30" s="133">
        <f t="shared" si="4"/>
        <v>0.24206295977477746</v>
      </c>
    </row>
    <row r="31" spans="2:15" ht="15.95" customHeight="1" x14ac:dyDescent="0.25">
      <c r="B31" s="143" t="str">
        <f>'X3'!B31</f>
        <v>RMBA</v>
      </c>
      <c r="C31" s="42" t="str">
        <f>'X3'!C31</f>
        <v>PT BENTOEL INTERNASIONAL INVESTAMA</v>
      </c>
      <c r="D31" s="106">
        <v>4749</v>
      </c>
      <c r="E31" s="107">
        <v>21923057000000</v>
      </c>
      <c r="F31" s="123">
        <f t="shared" si="0"/>
        <v>2.1662124949088988E-10</v>
      </c>
      <c r="G31" s="112">
        <v>312</v>
      </c>
      <c r="H31" s="110">
        <v>229</v>
      </c>
      <c r="I31" s="124">
        <f t="shared" si="1"/>
        <v>1.3624454148471616</v>
      </c>
      <c r="J31" s="110">
        <v>1100090000000</v>
      </c>
      <c r="K31" s="110">
        <f t="shared" si="2"/>
        <v>21923057000000</v>
      </c>
      <c r="L31" s="127">
        <f t="shared" si="3"/>
        <v>5.0179589461451478E-2</v>
      </c>
      <c r="M31" s="111">
        <v>5216573000000</v>
      </c>
      <c r="N31" s="111">
        <v>14879589000000</v>
      </c>
      <c r="O31" s="133">
        <f t="shared" si="4"/>
        <v>0.35058582599290883</v>
      </c>
    </row>
    <row r="32" spans="2:15" ht="15.95" customHeight="1" x14ac:dyDescent="0.25">
      <c r="B32" s="143" t="str">
        <f>'X3'!B32</f>
        <v>ROTI</v>
      </c>
      <c r="C32" s="42" t="str">
        <f>'X3'!C32</f>
        <v>PT NIPPON INDOSARI CORPINDO</v>
      </c>
      <c r="D32" s="106">
        <v>3386</v>
      </c>
      <c r="E32" s="107">
        <v>2766545866684</v>
      </c>
      <c r="F32" s="123">
        <f t="shared" si="0"/>
        <v>1.2239088607840368E-9</v>
      </c>
      <c r="G32" s="112">
        <v>1200</v>
      </c>
      <c r="H32" s="110">
        <v>471</v>
      </c>
      <c r="I32" s="124">
        <f t="shared" si="1"/>
        <v>2.5477707006369426</v>
      </c>
      <c r="J32" s="110">
        <v>207100215679</v>
      </c>
      <c r="K32" s="110">
        <f t="shared" si="2"/>
        <v>2766545866684</v>
      </c>
      <c r="L32" s="127">
        <f t="shared" si="3"/>
        <v>7.4858768174782389E-2</v>
      </c>
      <c r="M32" s="111">
        <v>2222133112899</v>
      </c>
      <c r="N32" s="111">
        <v>4393810380883</v>
      </c>
      <c r="O32" s="133">
        <f t="shared" si="4"/>
        <v>0.50574169576531203</v>
      </c>
    </row>
    <row r="33" spans="2:15" ht="15.95" customHeight="1" x14ac:dyDescent="0.25">
      <c r="B33" s="143" t="str">
        <f>'X3'!B33</f>
        <v>SIDO</v>
      </c>
      <c r="C33" s="42" t="str">
        <f>'X3'!C33</f>
        <v>PT INDUSTRI JAMU DAN FARMASI SIDO MUNCUL</v>
      </c>
      <c r="D33" s="106">
        <v>2755</v>
      </c>
      <c r="E33" s="107">
        <v>2763292000000</v>
      </c>
      <c r="F33" s="123">
        <f t="shared" si="0"/>
        <v>9.9699923135159084E-10</v>
      </c>
      <c r="G33" s="112">
        <v>420</v>
      </c>
      <c r="H33" s="110">
        <v>96</v>
      </c>
      <c r="I33" s="124">
        <f t="shared" si="1"/>
        <v>4.375</v>
      </c>
      <c r="J33" s="110">
        <v>298087000000</v>
      </c>
      <c r="K33" s="110">
        <f t="shared" si="2"/>
        <v>2763292000000</v>
      </c>
      <c r="L33" s="128">
        <f t="shared" si="3"/>
        <v>0.10787386928344887</v>
      </c>
      <c r="M33" s="111">
        <v>1553362000000</v>
      </c>
      <c r="N33" s="111">
        <v>3337628000000</v>
      </c>
      <c r="O33" s="133">
        <f t="shared" si="4"/>
        <v>0.46540896708680535</v>
      </c>
    </row>
    <row r="34" spans="2:15" ht="15.95" customHeight="1" x14ac:dyDescent="0.25">
      <c r="B34" s="143" t="str">
        <f>'X3'!B34</f>
        <v>TBLA</v>
      </c>
      <c r="C34" s="42" t="str">
        <f>'X3'!C34</f>
        <v>PT TUNAS BARU LAMPUNG</v>
      </c>
      <c r="D34" s="106">
        <v>3587</v>
      </c>
      <c r="E34" s="107">
        <v>8614889000000</v>
      </c>
      <c r="F34" s="123">
        <f t="shared" si="0"/>
        <v>4.1637216683813337E-10</v>
      </c>
      <c r="G34" s="112">
        <v>865</v>
      </c>
      <c r="H34" s="110">
        <v>895</v>
      </c>
      <c r="I34" s="124">
        <f t="shared" si="1"/>
        <v>0.96648044692737434</v>
      </c>
      <c r="J34" s="110">
        <v>5120000000</v>
      </c>
      <c r="K34" s="110">
        <f t="shared" si="2"/>
        <v>8614889000000</v>
      </c>
      <c r="L34" s="128">
        <f t="shared" si="3"/>
        <v>5.9431990359945443E-4</v>
      </c>
      <c r="M34" s="111">
        <v>6428456000000</v>
      </c>
      <c r="N34" s="111">
        <v>16339916000000</v>
      </c>
      <c r="O34" s="133">
        <f t="shared" si="4"/>
        <v>0.39342038233244281</v>
      </c>
    </row>
    <row r="35" spans="2:15" ht="15.95" customHeight="1" x14ac:dyDescent="0.25">
      <c r="B35" s="143" t="str">
        <f>'X3'!B35</f>
        <v>TCID</v>
      </c>
      <c r="C35" s="42" t="str">
        <f>'X3'!C35</f>
        <v>PT MANDOM INDONESIA</v>
      </c>
      <c r="D35" s="106">
        <v>5189</v>
      </c>
      <c r="E35" s="107">
        <v>2648754344347</v>
      </c>
      <c r="F35" s="123">
        <f t="shared" si="0"/>
        <v>1.9590340686271719E-9</v>
      </c>
      <c r="G35" s="112">
        <v>17250</v>
      </c>
      <c r="H35" s="110">
        <v>9809</v>
      </c>
      <c r="I35" s="124">
        <f t="shared" si="1"/>
        <v>1.7585890508716484</v>
      </c>
      <c r="J35" s="110">
        <v>95511659586</v>
      </c>
      <c r="K35" s="110">
        <f t="shared" si="2"/>
        <v>2648754344347</v>
      </c>
      <c r="L35" s="128">
        <f t="shared" si="3"/>
        <v>3.6059085581055111E-2</v>
      </c>
      <c r="M35" s="111">
        <v>998708967039</v>
      </c>
      <c r="N35" s="111">
        <v>2445143511801</v>
      </c>
      <c r="O35" s="133">
        <f t="shared" si="4"/>
        <v>0.40844595101225317</v>
      </c>
    </row>
    <row r="36" spans="2:15" ht="15.95" customHeight="1" x14ac:dyDescent="0.25">
      <c r="B36" s="143" t="str">
        <f>'X3'!B36</f>
        <v>TSPC</v>
      </c>
      <c r="C36" s="42" t="str">
        <f>'X3'!C36</f>
        <v>PT TEMPO SCAN PACIFIC</v>
      </c>
      <c r="D36" s="106">
        <v>5765</v>
      </c>
      <c r="E36" s="107">
        <v>10088118830780</v>
      </c>
      <c r="F36" s="123">
        <f t="shared" si="0"/>
        <v>5.7146432320070695E-10</v>
      </c>
      <c r="G36" s="112">
        <v>1390</v>
      </c>
      <c r="H36" s="110">
        <v>1207</v>
      </c>
      <c r="I36" s="124">
        <f t="shared" si="1"/>
        <v>1.151615575807788</v>
      </c>
      <c r="J36" s="110">
        <v>1624739073340</v>
      </c>
      <c r="K36" s="110">
        <f t="shared" si="2"/>
        <v>10088118830780</v>
      </c>
      <c r="L36" s="128">
        <f t="shared" si="3"/>
        <v>0.16105471204232211</v>
      </c>
      <c r="M36" s="111">
        <v>2271379683420</v>
      </c>
      <c r="N36" s="111">
        <v>7869975060326</v>
      </c>
      <c r="O36" s="133">
        <f t="shared" si="4"/>
        <v>0.28861332672710044</v>
      </c>
    </row>
    <row r="37" spans="2:15" ht="15.95" customHeight="1" x14ac:dyDescent="0.25">
      <c r="B37" s="143" t="str">
        <f>'X3'!B37</f>
        <v>UNVR</v>
      </c>
      <c r="C37" s="42" t="str">
        <f>'X3'!C37</f>
        <v>PT UNILEVER INDONESIA</v>
      </c>
      <c r="D37" s="106">
        <v>5729</v>
      </c>
      <c r="E37" s="107">
        <v>41802073000000</v>
      </c>
      <c r="F37" s="123">
        <f t="shared" si="0"/>
        <v>1.3705061947525903E-10</v>
      </c>
      <c r="G37" s="112">
        <v>9080</v>
      </c>
      <c r="H37" s="110">
        <v>198</v>
      </c>
      <c r="I37" s="124">
        <f t="shared" si="1"/>
        <v>45.858585858585862</v>
      </c>
      <c r="J37" s="110">
        <v>2475620000000</v>
      </c>
      <c r="K37" s="110">
        <f t="shared" si="2"/>
        <v>41802073000000</v>
      </c>
      <c r="L37" s="128">
        <f t="shared" si="3"/>
        <v>5.9222421816257774E-2</v>
      </c>
      <c r="M37" s="111">
        <v>10627387000000</v>
      </c>
      <c r="N37" s="111">
        <v>12068959000000</v>
      </c>
      <c r="O37" s="133">
        <f t="shared" si="4"/>
        <v>0.88055539835705798</v>
      </c>
    </row>
    <row r="38" spans="2:15" ht="15.95" customHeight="1" x14ac:dyDescent="0.25">
      <c r="B38" s="41" t="str">
        <f>'X3'!B38</f>
        <v>BLTA</v>
      </c>
      <c r="C38" s="42" t="str">
        <f>'X3'!C38</f>
        <v>PT BERLIAN LAJU TANKER</v>
      </c>
      <c r="D38" s="106">
        <v>68</v>
      </c>
      <c r="E38" s="107">
        <f>24934905*A55</f>
        <v>361556122500</v>
      </c>
      <c r="F38" s="123">
        <f t="shared" si="0"/>
        <v>1.8807591897437722E-10</v>
      </c>
      <c r="G38" s="112">
        <v>196</v>
      </c>
      <c r="H38" s="110">
        <v>16</v>
      </c>
      <c r="I38" s="124">
        <f t="shared" si="1"/>
        <v>12.25</v>
      </c>
      <c r="J38" s="110">
        <v>0</v>
      </c>
      <c r="K38" s="110">
        <f t="shared" si="2"/>
        <v>361556122500</v>
      </c>
      <c r="L38" s="128">
        <f t="shared" si="3"/>
        <v>0</v>
      </c>
      <c r="M38" s="111">
        <f>(25944717*A55)</f>
        <v>376198396500</v>
      </c>
      <c r="N38" s="111">
        <f>71348533*A55</f>
        <v>1034553728500</v>
      </c>
      <c r="O38" s="133">
        <f t="shared" si="4"/>
        <v>0.36363350315836207</v>
      </c>
    </row>
    <row r="39" spans="2:15" ht="15.95" customHeight="1" x14ac:dyDescent="0.25">
      <c r="B39" s="41" t="str">
        <f>'X3'!B39</f>
        <v>BBRM</v>
      </c>
      <c r="C39" s="42" t="str">
        <f>'X3'!C39</f>
        <v>PT PELAYARAN NASIONAL BINA BUANA RAYA</v>
      </c>
      <c r="D39" s="106">
        <v>38</v>
      </c>
      <c r="E39" s="107">
        <f>20701319*A55</f>
        <v>300169125500</v>
      </c>
      <c r="F39" s="123">
        <f t="shared" si="0"/>
        <v>1.2659529835622618E-10</v>
      </c>
      <c r="G39" s="112">
        <v>50</v>
      </c>
      <c r="H39" s="110">
        <v>61</v>
      </c>
      <c r="I39" s="124">
        <f t="shared" si="1"/>
        <v>0.81967213114754101</v>
      </c>
      <c r="J39" s="110">
        <v>0</v>
      </c>
      <c r="K39" s="110">
        <f t="shared" si="2"/>
        <v>300169125500</v>
      </c>
      <c r="L39" s="128">
        <f t="shared" si="3"/>
        <v>0</v>
      </c>
      <c r="M39" s="111">
        <f>78329880*A55</f>
        <v>1135783260000</v>
      </c>
      <c r="N39" s="111">
        <f>85693582*A55</f>
        <v>1242556939000</v>
      </c>
      <c r="O39" s="133">
        <f t="shared" si="4"/>
        <v>0.9140693873667225</v>
      </c>
    </row>
    <row r="40" spans="2:15" ht="15.95" customHeight="1" x14ac:dyDescent="0.25">
      <c r="B40" s="41" t="str">
        <f>'X3'!B40</f>
        <v>BTEL</v>
      </c>
      <c r="C40" s="42" t="str">
        <f>'X3'!C40</f>
        <v>PT BAKRIE TELECOM</v>
      </c>
      <c r="D40" s="106">
        <v>6</v>
      </c>
      <c r="E40" s="107">
        <v>8526000000</v>
      </c>
      <c r="F40" s="123">
        <f t="shared" si="0"/>
        <v>7.0372976776917662E-10</v>
      </c>
      <c r="G40" s="112">
        <v>50</v>
      </c>
      <c r="H40" s="110">
        <v>-418</v>
      </c>
      <c r="I40" s="124">
        <f t="shared" ref="I40:I58" si="5">G40/H40</f>
        <v>-0.11961722488038277</v>
      </c>
      <c r="J40" s="110">
        <v>0</v>
      </c>
      <c r="K40" s="110">
        <f t="shared" ref="K40:K104" si="6">E40</f>
        <v>8526000000</v>
      </c>
      <c r="L40" s="128">
        <f t="shared" si="3"/>
        <v>0</v>
      </c>
      <c r="M40" s="111">
        <v>724000000</v>
      </c>
      <c r="N40" s="111">
        <v>713505000000</v>
      </c>
      <c r="O40" s="133">
        <f t="shared" si="4"/>
        <v>1.0147090770211841E-3</v>
      </c>
    </row>
    <row r="41" spans="2:15" ht="15.95" customHeight="1" x14ac:dyDescent="0.25">
      <c r="B41" s="41" t="str">
        <f>'X3'!B41</f>
        <v>BULL</v>
      </c>
      <c r="C41" s="42" t="str">
        <f>'X3'!C41</f>
        <v>PT BUANA LINTAS LAUTAN</v>
      </c>
      <c r="D41" s="106">
        <v>178</v>
      </c>
      <c r="E41" s="107">
        <f>85432450*A55</f>
        <v>1238770525000</v>
      </c>
      <c r="F41" s="123">
        <f t="shared" si="0"/>
        <v>1.4369085832099533E-10</v>
      </c>
      <c r="G41" s="112">
        <v>117</v>
      </c>
      <c r="H41" s="110">
        <v>218</v>
      </c>
      <c r="I41" s="124">
        <f t="shared" si="5"/>
        <v>0.53669724770642202</v>
      </c>
      <c r="J41" s="110">
        <v>0</v>
      </c>
      <c r="K41" s="110">
        <f t="shared" si="6"/>
        <v>1238770525000</v>
      </c>
      <c r="L41" s="128">
        <f t="shared" si="3"/>
        <v>0</v>
      </c>
      <c r="M41" s="111">
        <f>222998373*A55</f>
        <v>3233476408500</v>
      </c>
      <c r="N41" s="111">
        <f>329977950*A55</f>
        <v>4784680275000</v>
      </c>
      <c r="O41" s="133">
        <f t="shared" si="4"/>
        <v>0.67579780103488729</v>
      </c>
    </row>
    <row r="42" spans="2:15" ht="15.95" customHeight="1" x14ac:dyDescent="0.25">
      <c r="B42" s="41" t="str">
        <f>'X3'!B42</f>
        <v>EXCL</v>
      </c>
      <c r="C42" s="42" t="str">
        <f>'X3'!C42</f>
        <v>PT XL AXIATA</v>
      </c>
      <c r="D42" s="106">
        <v>1672</v>
      </c>
      <c r="E42" s="107">
        <v>22938812000000</v>
      </c>
      <c r="F42" s="123">
        <f t="shared" si="0"/>
        <v>7.2889563766423479E-11</v>
      </c>
      <c r="G42" s="112">
        <v>1980</v>
      </c>
      <c r="H42" s="110">
        <v>1713</v>
      </c>
      <c r="I42" s="124">
        <f t="shared" si="5"/>
        <v>1.1558669001751314</v>
      </c>
      <c r="J42" s="110">
        <v>636178000000</v>
      </c>
      <c r="K42" s="110">
        <f t="shared" si="6"/>
        <v>22938812000000</v>
      </c>
      <c r="L42" s="128">
        <f t="shared" si="3"/>
        <v>2.773369431686349E-2</v>
      </c>
      <c r="M42" s="111">
        <v>36759530000000</v>
      </c>
      <c r="N42" s="111">
        <v>57613954000000</v>
      </c>
      <c r="O42" s="133">
        <f t="shared" si="4"/>
        <v>0.63803171710797701</v>
      </c>
    </row>
    <row r="43" spans="2:15" ht="15.95" customHeight="1" x14ac:dyDescent="0.25">
      <c r="B43" s="41" t="str">
        <f>'X3'!B43</f>
        <v>GIAA</v>
      </c>
      <c r="C43" s="42" t="str">
        <f>'X3'!C43</f>
        <v>PT GARUDA INDONESIA</v>
      </c>
      <c r="D43" s="106">
        <v>16336</v>
      </c>
      <c r="E43" s="107">
        <f>3529322999*A55</f>
        <v>51175183485500</v>
      </c>
      <c r="F43" s="123">
        <f t="shared" si="0"/>
        <v>3.1921722380592245E-10</v>
      </c>
      <c r="G43" s="112">
        <v>298</v>
      </c>
      <c r="H43" s="110">
        <v>511</v>
      </c>
      <c r="I43" s="124">
        <f t="shared" si="5"/>
        <v>0.58317025440313108</v>
      </c>
      <c r="J43" s="110">
        <f>14155162*14380</f>
        <v>203551229560</v>
      </c>
      <c r="K43" s="110">
        <f t="shared" si="6"/>
        <v>51175183485500</v>
      </c>
      <c r="L43" s="128">
        <f t="shared" si="3"/>
        <v>3.9775378551925328E-3</v>
      </c>
      <c r="M43" s="111">
        <f>936864500*A55</f>
        <v>13584535250000</v>
      </c>
      <c r="N43" s="111">
        <f>4155474803*A55</f>
        <v>60254384643500</v>
      </c>
      <c r="O43" s="133">
        <f t="shared" si="4"/>
        <v>0.22545305757205911</v>
      </c>
    </row>
    <row r="44" spans="2:15" ht="15.95" customHeight="1" x14ac:dyDescent="0.25">
      <c r="B44" s="41" t="str">
        <f>'X3'!B44</f>
        <v>HITS</v>
      </c>
      <c r="C44" s="42" t="str">
        <f>'X3'!C44</f>
        <v>HUMPUSS INTERMODA TRANSPORTASI</v>
      </c>
      <c r="D44" s="106">
        <f>206+1629</f>
        <v>1835</v>
      </c>
      <c r="E44" s="107">
        <f>81808444*A55</f>
        <v>1186222438000</v>
      </c>
      <c r="F44" s="123">
        <f t="shared" si="0"/>
        <v>1.5469274068815076E-9</v>
      </c>
      <c r="G44" s="112">
        <v>700</v>
      </c>
      <c r="H44" s="110">
        <v>109</v>
      </c>
      <c r="I44" s="124">
        <f t="shared" si="5"/>
        <v>6.4220183486238529</v>
      </c>
      <c r="J44" s="110">
        <v>0</v>
      </c>
      <c r="K44" s="110">
        <f t="shared" si="6"/>
        <v>1186222438000</v>
      </c>
      <c r="L44" s="128">
        <f t="shared" si="3"/>
        <v>0</v>
      </c>
      <c r="M44" s="111">
        <f>153637273*A55</f>
        <v>2227740458500</v>
      </c>
      <c r="N44" s="111">
        <f>197358939*A55</f>
        <v>2861704615500</v>
      </c>
      <c r="O44" s="133">
        <f t="shared" si="4"/>
        <v>0.77846624925359986</v>
      </c>
    </row>
    <row r="45" spans="2:15" ht="15.95" customHeight="1" x14ac:dyDescent="0.25">
      <c r="B45" s="41" t="str">
        <f>'X3'!B45</f>
        <v>ISAT</v>
      </c>
      <c r="C45" s="42" t="str">
        <f>'X3'!C45</f>
        <v>PT INDOSAT</v>
      </c>
      <c r="D45" s="106">
        <v>3700</v>
      </c>
      <c r="E45" s="107">
        <v>23139551000000</v>
      </c>
      <c r="F45" s="123">
        <f t="shared" si="0"/>
        <v>1.5989938612032705E-10</v>
      </c>
      <c r="G45" s="112">
        <v>1685</v>
      </c>
      <c r="H45" s="110">
        <v>2233</v>
      </c>
      <c r="I45" s="124">
        <f t="shared" si="5"/>
        <v>0.754590237348858</v>
      </c>
      <c r="J45" s="110">
        <v>353512000000</v>
      </c>
      <c r="K45" s="110">
        <f t="shared" si="6"/>
        <v>23139551000000</v>
      </c>
      <c r="L45" s="128">
        <f t="shared" si="3"/>
        <v>1.5277392374640287E-2</v>
      </c>
      <c r="M45" s="111">
        <v>36899330000000</v>
      </c>
      <c r="N45" s="111">
        <v>53139587000000</v>
      </c>
      <c r="O45" s="133">
        <f t="shared" si="4"/>
        <v>0.69438496012398443</v>
      </c>
    </row>
    <row r="46" spans="2:15" ht="15.95" customHeight="1" x14ac:dyDescent="0.25">
      <c r="B46" s="41" t="str">
        <f>'X3'!B46</f>
        <v>MBSS</v>
      </c>
      <c r="C46" s="42" t="str">
        <f>'X3'!C46</f>
        <v>PT MITRABAHTERA SEGARA SEJATI</v>
      </c>
      <c r="D46" s="106">
        <v>248</v>
      </c>
      <c r="E46" s="107">
        <f>77840848*A55</f>
        <v>1128692296000</v>
      </c>
      <c r="F46" s="123">
        <f t="shared" si="0"/>
        <v>2.1972330357786017E-10</v>
      </c>
      <c r="G46" s="112">
        <v>488</v>
      </c>
      <c r="H46" s="110">
        <v>1424</v>
      </c>
      <c r="I46" s="124">
        <f t="shared" si="5"/>
        <v>0.34269662921348315</v>
      </c>
      <c r="J46" s="110">
        <v>0</v>
      </c>
      <c r="K46" s="110">
        <f t="shared" si="6"/>
        <v>1128692296000</v>
      </c>
      <c r="L46" s="128">
        <f t="shared" si="3"/>
        <v>0</v>
      </c>
      <c r="M46" s="111">
        <f>177648209*A55</f>
        <v>2575899030500</v>
      </c>
      <c r="N46" s="111">
        <f>239708560*A55</f>
        <v>3475774120000</v>
      </c>
      <c r="O46" s="133">
        <f t="shared" si="4"/>
        <v>0.74110081425544416</v>
      </c>
    </row>
    <row r="47" spans="2:15" ht="15.95" customHeight="1" x14ac:dyDescent="0.25">
      <c r="B47" s="41" t="str">
        <f>'X3'!B47</f>
        <v>PGAS</v>
      </c>
      <c r="C47" s="42" t="str">
        <f>'X3'!C47</f>
        <v>PT PERUSAHAAN GAS NEGARA</v>
      </c>
      <c r="D47" s="106">
        <v>2804</v>
      </c>
      <c r="E47" s="107">
        <f>3870266738*A55</f>
        <v>56118867701000</v>
      </c>
      <c r="F47" s="123">
        <f t="shared" si="0"/>
        <v>4.9965370202044092E-11</v>
      </c>
      <c r="G47" s="104">
        <v>2120</v>
      </c>
      <c r="H47" s="110">
        <v>1920</v>
      </c>
      <c r="I47" s="124">
        <f t="shared" si="5"/>
        <v>1.1041666666666667</v>
      </c>
      <c r="J47" s="110">
        <f>6273675*14380</f>
        <v>90215446500</v>
      </c>
      <c r="K47" s="110">
        <f t="shared" si="6"/>
        <v>56118867701000</v>
      </c>
      <c r="L47" s="128">
        <f t="shared" si="3"/>
        <v>1.60757781109672E-3</v>
      </c>
      <c r="M47" s="111">
        <f>2861408876*A55</f>
        <v>41490428702000</v>
      </c>
      <c r="N47" s="111">
        <f>7939273167*A55</f>
        <v>115119460921500</v>
      </c>
      <c r="O47" s="133">
        <f t="shared" si="4"/>
        <v>0.36041194399174903</v>
      </c>
    </row>
    <row r="48" spans="2:15" ht="15.95" customHeight="1" x14ac:dyDescent="0.25">
      <c r="B48" s="41" t="str">
        <f>'X3'!B48</f>
        <v>PTIS</v>
      </c>
      <c r="C48" s="42" t="str">
        <f>'X3'!C48</f>
        <v>PT INDO STRAITS</v>
      </c>
      <c r="D48" s="106">
        <v>176</v>
      </c>
      <c r="E48" s="107">
        <f>12195126*A55</f>
        <v>176829327000</v>
      </c>
      <c r="F48" s="123">
        <f t="shared" si="0"/>
        <v>9.9531001438466149E-10</v>
      </c>
      <c r="G48" s="112">
        <v>320</v>
      </c>
      <c r="H48" s="110">
        <v>433</v>
      </c>
      <c r="I48" s="124">
        <f t="shared" si="5"/>
        <v>0.73903002309468824</v>
      </c>
      <c r="J48" s="110">
        <v>0</v>
      </c>
      <c r="K48" s="110">
        <f t="shared" si="6"/>
        <v>176829327000</v>
      </c>
      <c r="L48" s="128">
        <f t="shared" si="3"/>
        <v>0</v>
      </c>
      <c r="M48" s="111">
        <f>32568633*A55</f>
        <v>472245178500</v>
      </c>
      <c r="N48" s="111">
        <f>37914447*A55</f>
        <v>549759481500</v>
      </c>
      <c r="O48" s="133">
        <f t="shared" si="4"/>
        <v>0.85900324485808799</v>
      </c>
    </row>
    <row r="49" spans="1:15" ht="15.95" customHeight="1" x14ac:dyDescent="0.25">
      <c r="B49" s="41" t="str">
        <f>'X3'!B49</f>
        <v>SMDR</v>
      </c>
      <c r="C49" s="42" t="str">
        <f>'X3'!C49</f>
        <v>SAMUDERA INDONESIA</v>
      </c>
      <c r="D49" s="106">
        <v>4000</v>
      </c>
      <c r="E49" s="107">
        <f>482446122*A55</f>
        <v>6995468769000</v>
      </c>
      <c r="F49" s="123">
        <f t="shared" si="0"/>
        <v>5.7179870743269698E-10</v>
      </c>
      <c r="G49" s="112">
        <v>310</v>
      </c>
      <c r="H49" s="110">
        <v>1361</v>
      </c>
      <c r="I49" s="124">
        <f t="shared" si="5"/>
        <v>0.22777369581190302</v>
      </c>
      <c r="J49" s="110">
        <v>0</v>
      </c>
      <c r="K49" s="110">
        <f t="shared" si="6"/>
        <v>6995468769000</v>
      </c>
      <c r="L49" s="128">
        <f t="shared" si="3"/>
        <v>0</v>
      </c>
      <c r="M49" s="111">
        <f>342504886*A55</f>
        <v>4966320847000</v>
      </c>
      <c r="N49" s="111">
        <f>599790746*A55</f>
        <v>8696965817000</v>
      </c>
      <c r="O49" s="133">
        <f t="shared" si="4"/>
        <v>0.57104063089362833</v>
      </c>
    </row>
    <row r="50" spans="1:15" ht="15.95" customHeight="1" x14ac:dyDescent="0.25">
      <c r="B50" s="41" t="str">
        <f>'X3'!B50</f>
        <v>SOCI</v>
      </c>
      <c r="C50" s="42" t="str">
        <f>'X3'!C50</f>
        <v xml:space="preserve">PT SOECHI LINES </v>
      </c>
      <c r="D50" s="106">
        <v>313</v>
      </c>
      <c r="E50" s="107">
        <f>132401822*A55</f>
        <v>1919826419000</v>
      </c>
      <c r="F50" s="123">
        <f t="shared" si="0"/>
        <v>1.6303557285300593E-10</v>
      </c>
      <c r="G50" s="115">
        <v>131</v>
      </c>
      <c r="H50" s="116">
        <v>674</v>
      </c>
      <c r="I50" s="125">
        <f t="shared" si="5"/>
        <v>0.1943620178041543</v>
      </c>
      <c r="J50" s="110">
        <v>0</v>
      </c>
      <c r="K50" s="110">
        <f t="shared" si="6"/>
        <v>1919826419000</v>
      </c>
      <c r="L50" s="128">
        <f t="shared" si="3"/>
        <v>0</v>
      </c>
      <c r="M50" s="117">
        <f>561453984*A55</f>
        <v>8141082768000</v>
      </c>
      <c r="N50" s="117">
        <f>669877417*A55</f>
        <v>9713222546500</v>
      </c>
      <c r="O50" s="134">
        <f t="shared" si="4"/>
        <v>0.83814436753881494</v>
      </c>
    </row>
    <row r="51" spans="1:15" ht="15.95" customHeight="1" x14ac:dyDescent="0.25">
      <c r="B51" s="41" t="str">
        <f>'X3'!B51</f>
        <v>TBIG</v>
      </c>
      <c r="C51" s="42" t="str">
        <f>'X3'!C51</f>
        <v>PT TOWER BERSAMA INFRASTRUCTURE</v>
      </c>
      <c r="D51" s="106">
        <v>612</v>
      </c>
      <c r="E51" s="107">
        <v>4318137000000</v>
      </c>
      <c r="F51" s="123">
        <f t="shared" si="0"/>
        <v>1.4172778677471326E-10</v>
      </c>
      <c r="G51" s="84">
        <v>720</v>
      </c>
      <c r="H51" s="118">
        <v>162</v>
      </c>
      <c r="I51" s="126">
        <f t="shared" si="5"/>
        <v>4.4444444444444446</v>
      </c>
      <c r="J51" s="56">
        <v>0</v>
      </c>
      <c r="K51" s="116">
        <f t="shared" si="6"/>
        <v>4318137000000</v>
      </c>
      <c r="L51" s="129">
        <f t="shared" si="3"/>
        <v>0</v>
      </c>
      <c r="M51" s="119">
        <v>21878608000000</v>
      </c>
      <c r="N51" s="119">
        <v>29113747000000</v>
      </c>
      <c r="O51" s="135">
        <f t="shared" si="4"/>
        <v>0.75148719263102759</v>
      </c>
    </row>
    <row r="52" spans="1:15" ht="15.95" customHeight="1" x14ac:dyDescent="0.25">
      <c r="B52" s="41" t="str">
        <f>'X3'!B52</f>
        <v>TLKM</v>
      </c>
      <c r="C52" s="42" t="str">
        <f>'X3'!C52</f>
        <v>PT TELEKOMUNIKASI INDONESIA</v>
      </c>
      <c r="D52" s="106">
        <v>24071</v>
      </c>
      <c r="E52" s="44">
        <v>130784000000000</v>
      </c>
      <c r="F52" s="123">
        <f t="shared" si="0"/>
        <v>1.8405156594078787E-10</v>
      </c>
      <c r="G52" s="84">
        <v>3750</v>
      </c>
      <c r="H52" s="118">
        <v>1184</v>
      </c>
      <c r="I52" s="126">
        <f t="shared" si="5"/>
        <v>3.1672297297297298</v>
      </c>
      <c r="J52" s="118">
        <v>0</v>
      </c>
      <c r="K52" s="116">
        <f t="shared" si="6"/>
        <v>130784000000000</v>
      </c>
      <c r="L52" s="130">
        <f t="shared" si="3"/>
        <v>0</v>
      </c>
      <c r="M52" s="119">
        <v>143248000000000</v>
      </c>
      <c r="N52" s="119">
        <v>206196000000000</v>
      </c>
      <c r="O52" s="135">
        <f t="shared" si="4"/>
        <v>0.69471764728704732</v>
      </c>
    </row>
    <row r="53" spans="1:15" ht="15.95" customHeight="1" x14ac:dyDescent="0.25">
      <c r="B53" s="41" t="str">
        <f>'X3'!B53</f>
        <v>TMAS</v>
      </c>
      <c r="C53" s="42" t="str">
        <f>'X3'!C53</f>
        <v>PT PELAYARAN TEMPURAN EMAS</v>
      </c>
      <c r="D53" s="106">
        <v>428</v>
      </c>
      <c r="E53" s="107">
        <v>2320005000000</v>
      </c>
      <c r="F53" s="123">
        <f t="shared" si="0"/>
        <v>1.8448236102939433E-10</v>
      </c>
      <c r="G53" s="84">
        <v>160</v>
      </c>
      <c r="H53" s="118">
        <v>187</v>
      </c>
      <c r="I53" s="126">
        <f t="shared" si="5"/>
        <v>0.85561497326203206</v>
      </c>
      <c r="J53" s="118">
        <v>0</v>
      </c>
      <c r="K53" s="116">
        <f t="shared" si="6"/>
        <v>2320005000000</v>
      </c>
      <c r="L53" s="130">
        <f t="shared" si="3"/>
        <v>0</v>
      </c>
      <c r="M53" s="119">
        <v>2176593000000</v>
      </c>
      <c r="N53" s="119">
        <v>2837426000000</v>
      </c>
      <c r="O53" s="135">
        <f t="shared" si="4"/>
        <v>0.76710123893979965</v>
      </c>
    </row>
    <row r="54" spans="1:15" ht="15.95" customHeight="1" x14ac:dyDescent="0.25">
      <c r="A54" s="35" t="s">
        <v>344</v>
      </c>
      <c r="B54" s="41" t="str">
        <f>'X3'!B54</f>
        <v>WINS</v>
      </c>
      <c r="C54" s="42" t="str">
        <f>'X3'!C54</f>
        <v>PT WINTERMAR OFFSHORE MARINE</v>
      </c>
      <c r="D54" s="106">
        <v>207</v>
      </c>
      <c r="E54" s="107">
        <f>62750826*A55</f>
        <v>909886977000</v>
      </c>
      <c r="F54" s="123">
        <f t="shared" si="0"/>
        <v>2.2750078331981665E-10</v>
      </c>
      <c r="G54" s="84">
        <v>220</v>
      </c>
      <c r="H54" s="118">
        <v>586</v>
      </c>
      <c r="I54" s="126">
        <f t="shared" si="5"/>
        <v>0.37542662116040953</v>
      </c>
      <c r="J54" s="118">
        <v>0</v>
      </c>
      <c r="K54" s="116">
        <f t="shared" si="6"/>
        <v>909886977000</v>
      </c>
      <c r="L54" s="130">
        <f t="shared" si="3"/>
        <v>0</v>
      </c>
      <c r="M54" s="119">
        <f>219969763*A55</f>
        <v>3189561563500</v>
      </c>
      <c r="N54" s="119">
        <f>275020275*A55</f>
        <v>3987793987500</v>
      </c>
      <c r="O54" s="135">
        <f t="shared" si="4"/>
        <v>0.79983107790871055</v>
      </c>
    </row>
    <row r="55" spans="1:15" ht="15.95" customHeight="1" x14ac:dyDescent="0.25">
      <c r="A55" s="56">
        <v>14500</v>
      </c>
      <c r="B55" s="41" t="str">
        <f>'X3'!B55</f>
        <v>ADRO</v>
      </c>
      <c r="C55" s="42" t="str">
        <f>'X3'!C55</f>
        <v>PT ADARO ENERGY</v>
      </c>
      <c r="D55" s="106">
        <v>10259</v>
      </c>
      <c r="E55" s="107">
        <f>3619751*A55</f>
        <v>52486389500</v>
      </c>
      <c r="F55" s="123">
        <f t="shared" si="0"/>
        <v>1.9546019640005911E-7</v>
      </c>
      <c r="G55" s="84">
        <v>1215</v>
      </c>
      <c r="H55" s="118">
        <v>1956</v>
      </c>
      <c r="I55" s="126">
        <f t="shared" si="5"/>
        <v>0.62116564417177911</v>
      </c>
      <c r="J55" s="118">
        <v>0</v>
      </c>
      <c r="K55" s="116">
        <f t="shared" si="6"/>
        <v>52486389500</v>
      </c>
      <c r="L55" s="130">
        <f t="shared" si="3"/>
        <v>0</v>
      </c>
      <c r="M55" s="119">
        <f>1609701*A55</f>
        <v>23340664500</v>
      </c>
      <c r="N55" s="119">
        <f>7060755*A55</f>
        <v>102380947500</v>
      </c>
      <c r="O55" s="135">
        <f t="shared" si="4"/>
        <v>0.22797859435711904</v>
      </c>
    </row>
    <row r="56" spans="1:15" ht="15.95" customHeight="1" x14ac:dyDescent="0.25">
      <c r="B56" s="41" t="str">
        <f>'X3'!B56</f>
        <v>ANTM</v>
      </c>
      <c r="C56" s="42" t="str">
        <f>'X3'!C56</f>
        <v>PT ANEKA TAMBANG</v>
      </c>
      <c r="D56" s="106">
        <v>3637</v>
      </c>
      <c r="E56" s="107">
        <f>25275245970000</f>
        <v>25275245970000</v>
      </c>
      <c r="F56" s="123">
        <f t="shared" si="0"/>
        <v>1.438957311955291E-10</v>
      </c>
      <c r="G56" s="84">
        <v>765</v>
      </c>
      <c r="H56" s="118">
        <v>821</v>
      </c>
      <c r="I56" s="126">
        <f t="shared" si="5"/>
        <v>0.93179049939098657</v>
      </c>
      <c r="J56" s="118">
        <v>0</v>
      </c>
      <c r="K56" s="116">
        <f t="shared" si="6"/>
        <v>25275245970000</v>
      </c>
      <c r="L56" s="130">
        <f t="shared" si="3"/>
        <v>0</v>
      </c>
      <c r="M56" s="119">
        <v>19489671241000</v>
      </c>
      <c r="N56" s="119">
        <v>32195350845000</v>
      </c>
      <c r="O56" s="135">
        <f t="shared" si="4"/>
        <v>0.60535669683583471</v>
      </c>
    </row>
    <row r="57" spans="1:15" ht="15.95" customHeight="1" x14ac:dyDescent="0.25">
      <c r="B57" s="41" t="str">
        <f>'X3'!B57</f>
        <v xml:space="preserve">BYAN </v>
      </c>
      <c r="C57" s="42" t="str">
        <f>'X3'!C57</f>
        <v>PT BAYAN RESOURCES</v>
      </c>
      <c r="D57" s="106">
        <v>490</v>
      </c>
      <c r="E57" s="107">
        <f>1676717292*A55</f>
        <v>24312400734000</v>
      </c>
      <c r="F57" s="123">
        <f t="shared" si="0"/>
        <v>2.0154323933742708E-11</v>
      </c>
      <c r="G57" s="84">
        <v>19875</v>
      </c>
      <c r="H57" s="118">
        <v>2958</v>
      </c>
      <c r="I57" s="126">
        <f t="shared" si="5"/>
        <v>6.7190669371196758</v>
      </c>
      <c r="J57" s="118">
        <v>0</v>
      </c>
      <c r="K57" s="116">
        <f t="shared" si="6"/>
        <v>24312400734000</v>
      </c>
      <c r="L57" s="130">
        <f t="shared" si="3"/>
        <v>0</v>
      </c>
      <c r="M57" s="119">
        <f>299319453*A55</f>
        <v>4340132068500</v>
      </c>
      <c r="N57" s="119">
        <f>1278040123*A55</f>
        <v>18531581783500</v>
      </c>
      <c r="O57" s="135">
        <f t="shared" si="4"/>
        <v>0.23420192184373229</v>
      </c>
    </row>
    <row r="58" spans="1:15" ht="15.95" customHeight="1" x14ac:dyDescent="0.25">
      <c r="B58" s="41" t="str">
        <f>'X3'!B58</f>
        <v>DSSA</v>
      </c>
      <c r="C58" s="42" t="str">
        <f>'X3'!C58</f>
        <v>PT DIAN SWASTATIKA SENTOSA</v>
      </c>
      <c r="D58" s="106">
        <v>2553</v>
      </c>
      <c r="E58" s="107">
        <f>1768840742*A55</f>
        <v>25648190759000</v>
      </c>
      <c r="F58" s="123">
        <f t="shared" si="0"/>
        <v>9.9539184809912849E-11</v>
      </c>
      <c r="G58" s="84">
        <v>13500</v>
      </c>
      <c r="H58" s="118">
        <v>28559</v>
      </c>
      <c r="I58" s="126">
        <f t="shared" si="5"/>
        <v>0.47270562694772228</v>
      </c>
      <c r="J58" s="118">
        <v>0</v>
      </c>
      <c r="K58" s="116">
        <f t="shared" si="6"/>
        <v>25648190759000</v>
      </c>
      <c r="L58" s="130">
        <f t="shared" si="3"/>
        <v>0</v>
      </c>
      <c r="M58" s="119">
        <f>429909084*A55</f>
        <v>6233681718000</v>
      </c>
      <c r="N58" s="119">
        <f>3386790883*A55</f>
        <v>49108467803500</v>
      </c>
      <c r="O58" s="135">
        <f t="shared" si="4"/>
        <v>0.12693700285952966</v>
      </c>
    </row>
    <row r="59" spans="1:15" ht="15.95" customHeight="1" x14ac:dyDescent="0.25">
      <c r="B59" s="41" t="str">
        <f>'X3'!B59</f>
        <v>GEMS</v>
      </c>
      <c r="C59" s="42" t="str">
        <f>'X3'!C59</f>
        <v>PT GOLDEN ENERGY MINES</v>
      </c>
      <c r="D59" s="106">
        <v>446</v>
      </c>
      <c r="E59" s="107">
        <f>1045058516*A55</f>
        <v>15153348482000</v>
      </c>
      <c r="F59" s="123">
        <f t="shared" si="0"/>
        <v>2.9432438680452964E-11</v>
      </c>
      <c r="G59" s="104">
        <v>2550</v>
      </c>
      <c r="H59" s="118">
        <v>780</v>
      </c>
      <c r="I59" s="126">
        <f t="shared" ref="I59:I122" si="7">G59/H59</f>
        <v>3.2692307692307692</v>
      </c>
      <c r="J59" s="118">
        <v>0</v>
      </c>
      <c r="K59" s="116">
        <f t="shared" si="6"/>
        <v>15153348482000</v>
      </c>
      <c r="L59" s="130">
        <f t="shared" si="3"/>
        <v>0</v>
      </c>
      <c r="M59" s="119">
        <f>71682384*A55</f>
        <v>1039394568000</v>
      </c>
      <c r="N59" s="119">
        <f>701046630*A55</f>
        <v>10165176135000</v>
      </c>
      <c r="O59" s="135">
        <f t="shared" si="4"/>
        <v>0.10225052219422266</v>
      </c>
    </row>
    <row r="60" spans="1:15" ht="15.95" customHeight="1" x14ac:dyDescent="0.25">
      <c r="B60" s="41" t="str">
        <f>'X3'!B60</f>
        <v>INCO</v>
      </c>
      <c r="C60" s="42" t="str">
        <f>'X3'!C60</f>
        <v>PT VALE INDONESIA</v>
      </c>
      <c r="D60" s="106">
        <v>3092</v>
      </c>
      <c r="E60" s="107">
        <f>776900000*A55</f>
        <v>11265050000000</v>
      </c>
      <c r="F60" s="123">
        <f t="shared" si="0"/>
        <v>2.7447725487237073E-10</v>
      </c>
      <c r="G60" s="84">
        <v>3260</v>
      </c>
      <c r="H60" s="118">
        <v>2756</v>
      </c>
      <c r="I60" s="126">
        <f t="shared" si="7"/>
        <v>1.1828737300435415</v>
      </c>
      <c r="J60" s="118">
        <v>0</v>
      </c>
      <c r="K60" s="116">
        <f t="shared" si="6"/>
        <v>11265050000000</v>
      </c>
      <c r="L60" s="130">
        <f t="shared" si="3"/>
        <v>0</v>
      </c>
      <c r="M60" s="119">
        <f>1434510000*A55</f>
        <v>20800395000000</v>
      </c>
      <c r="N60" s="119">
        <f>2202452000*A55</f>
        <v>31935554000000</v>
      </c>
      <c r="O60" s="135">
        <f t="shared" si="4"/>
        <v>0.65132406971865897</v>
      </c>
    </row>
    <row r="61" spans="1:15" ht="15.95" customHeight="1" x14ac:dyDescent="0.25">
      <c r="B61" s="41" t="str">
        <f>'X3'!B61</f>
        <v>INDY</v>
      </c>
      <c r="C61" s="42" t="str">
        <f>'X3'!C61</f>
        <v>PT INDIKA ENERGY</v>
      </c>
      <c r="D61" s="106">
        <v>8843</v>
      </c>
      <c r="E61" s="107">
        <f>2962860901*A55</f>
        <v>42961483064500</v>
      </c>
      <c r="F61" s="123">
        <f t="shared" si="0"/>
        <v>2.0583553846880956E-10</v>
      </c>
      <c r="G61" s="84">
        <v>1585</v>
      </c>
      <c r="H61" s="118">
        <v>3146</v>
      </c>
      <c r="I61" s="126">
        <f t="shared" si="7"/>
        <v>0.50381436745073105</v>
      </c>
      <c r="J61" s="118"/>
      <c r="K61" s="116">
        <f t="shared" si="6"/>
        <v>42961483064500</v>
      </c>
      <c r="L61" s="130">
        <f t="shared" si="3"/>
        <v>0</v>
      </c>
      <c r="M61" s="119">
        <f>626951634*A55</f>
        <v>9090798693000</v>
      </c>
      <c r="N61" s="119">
        <f>3669952693*A55</f>
        <v>53214314048500</v>
      </c>
      <c r="O61" s="135">
        <f t="shared" si="4"/>
        <v>0.1708337099810131</v>
      </c>
    </row>
    <row r="62" spans="1:15" ht="15.95" customHeight="1" x14ac:dyDescent="0.25">
      <c r="B62" s="41" t="str">
        <f>'X3'!B62</f>
        <v>ITMG</v>
      </c>
      <c r="C62" s="42" t="str">
        <f>'X3'!C62</f>
        <v>PT INDO TAMBANGRAYA MEGAH</v>
      </c>
      <c r="D62" s="106">
        <v>2844</v>
      </c>
      <c r="E62" s="107">
        <f>2007630000*A55</f>
        <v>29110635000000</v>
      </c>
      <c r="F62" s="123">
        <f t="shared" si="0"/>
        <v>9.7696254307059943E-11</v>
      </c>
      <c r="G62" s="84">
        <v>20250</v>
      </c>
      <c r="H62" s="118">
        <v>12480</v>
      </c>
      <c r="I62" s="126">
        <f t="shared" si="7"/>
        <v>1.6225961538461537</v>
      </c>
      <c r="J62" s="120">
        <v>0</v>
      </c>
      <c r="K62" s="116">
        <f t="shared" si="6"/>
        <v>29110635000000</v>
      </c>
      <c r="L62" s="131">
        <f t="shared" si="3"/>
        <v>0</v>
      </c>
      <c r="M62" s="119">
        <f>227294000*A55</f>
        <v>3295763000000</v>
      </c>
      <c r="N62" s="119">
        <f>1442728000*A55</f>
        <v>20919556000000</v>
      </c>
      <c r="O62" s="135">
        <f t="shared" si="4"/>
        <v>0.15754459607077703</v>
      </c>
    </row>
    <row r="63" spans="1:15" ht="15.95" customHeight="1" x14ac:dyDescent="0.25">
      <c r="B63" s="41" t="str">
        <f>'X3'!B63</f>
        <v>MEDC</v>
      </c>
      <c r="C63" s="42" t="str">
        <f>'X3'!C63</f>
        <v>PT MEDCO ENERGI INTERNATIONAL</v>
      </c>
      <c r="D63" s="106">
        <v>2771</v>
      </c>
      <c r="E63" s="107">
        <f>1218251548*A55</f>
        <v>17664647446000</v>
      </c>
      <c r="F63" s="123">
        <f t="shared" si="0"/>
        <v>1.5686698579582848E-10</v>
      </c>
      <c r="G63" s="84">
        <v>685</v>
      </c>
      <c r="H63" s="118">
        <v>802</v>
      </c>
      <c r="I63" s="126">
        <f t="shared" si="7"/>
        <v>0.85411471321695764</v>
      </c>
      <c r="J63" s="118">
        <f>4263188*A55</f>
        <v>61816226000</v>
      </c>
      <c r="K63" s="107">
        <f t="shared" si="6"/>
        <v>17664647446000</v>
      </c>
      <c r="L63" s="130">
        <f t="shared" si="3"/>
        <v>3.4994316296982041E-3</v>
      </c>
      <c r="M63" s="119">
        <f>43212281*A55</f>
        <v>626578074500</v>
      </c>
      <c r="N63" s="119">
        <f>5252393746*A55</f>
        <v>76159709317000</v>
      </c>
      <c r="O63" s="135">
        <f t="shared" si="4"/>
        <v>8.2271594799816061E-3</v>
      </c>
    </row>
    <row r="64" spans="1:15" ht="15.95" customHeight="1" x14ac:dyDescent="0.25">
      <c r="B64" s="41" t="str">
        <f>'X3'!B64</f>
        <v>MYOH</v>
      </c>
      <c r="C64" s="42" t="str">
        <f>'X3'!C64</f>
        <v>PT SAMINDO RESOURCES</v>
      </c>
      <c r="D64" s="106">
        <v>698</v>
      </c>
      <c r="E64" s="107">
        <f>241114622*A55</f>
        <v>3496162019000</v>
      </c>
      <c r="F64" s="123">
        <f t="shared" si="0"/>
        <v>1.9964749808695865E-10</v>
      </c>
      <c r="G64" s="84">
        <v>1045</v>
      </c>
      <c r="H64" s="118">
        <v>751</v>
      </c>
      <c r="I64" s="126">
        <f t="shared" si="7"/>
        <v>1.3914780292942743</v>
      </c>
      <c r="J64" s="118">
        <v>0</v>
      </c>
      <c r="K64" s="107">
        <f t="shared" si="6"/>
        <v>3496162019000</v>
      </c>
      <c r="L64" s="130">
        <f t="shared" si="3"/>
        <v>0</v>
      </c>
      <c r="M64" s="119">
        <f>42710041*A55</f>
        <v>619295594500</v>
      </c>
      <c r="N64" s="119">
        <f>151326098*A55</f>
        <v>2194228421000</v>
      </c>
      <c r="O64" s="135">
        <f t="shared" si="4"/>
        <v>0.28223843450982261</v>
      </c>
    </row>
    <row r="65" spans="2:15" ht="15.95" customHeight="1" x14ac:dyDescent="0.25">
      <c r="B65" s="41" t="str">
        <f>'X3'!B65</f>
        <v>PTBA</v>
      </c>
      <c r="C65" s="42" t="str">
        <f>'X3'!C65</f>
        <v>PT BUKIT ASAM</v>
      </c>
      <c r="D65" s="106">
        <v>2046</v>
      </c>
      <c r="E65" s="107">
        <f>21166993000000</f>
        <v>21166993000000</v>
      </c>
      <c r="F65" s="123">
        <f t="shared" si="0"/>
        <v>9.6659927085533599E-11</v>
      </c>
      <c r="G65" s="84">
        <v>4300</v>
      </c>
      <c r="H65" s="118">
        <v>1412</v>
      </c>
      <c r="I65" s="126">
        <f t="shared" si="7"/>
        <v>3.0453257790368271</v>
      </c>
      <c r="J65" s="118">
        <v>0</v>
      </c>
      <c r="K65" s="107">
        <f t="shared" si="6"/>
        <v>21166993000000</v>
      </c>
      <c r="L65" s="130">
        <f t="shared" si="3"/>
        <v>0</v>
      </c>
      <c r="M65" s="119">
        <f>6547586000000</f>
        <v>6547586000000</v>
      </c>
      <c r="N65" s="119">
        <f>24172933000000</f>
        <v>24172933000000</v>
      </c>
      <c r="O65" s="135">
        <f t="shared" si="4"/>
        <v>0.27086435890919813</v>
      </c>
    </row>
    <row r="66" spans="2:15" ht="15.95" customHeight="1" x14ac:dyDescent="0.25">
      <c r="B66" s="41" t="str">
        <f>'X3'!B66</f>
        <v>PTRO</v>
      </c>
      <c r="C66" s="42" t="str">
        <f>'X3'!C66</f>
        <v>PT PETROSEA</v>
      </c>
      <c r="D66" s="106">
        <v>6494</v>
      </c>
      <c r="E66" s="107">
        <f>465742000*A55</f>
        <v>6753259000000</v>
      </c>
      <c r="F66" s="123">
        <f t="shared" si="0"/>
        <v>9.6160979461916084E-10</v>
      </c>
      <c r="G66" s="84">
        <v>1785</v>
      </c>
      <c r="H66" s="118">
        <v>2755</v>
      </c>
      <c r="I66" s="126">
        <f t="shared" si="7"/>
        <v>0.64791288566243199</v>
      </c>
      <c r="J66" s="118">
        <v>0</v>
      </c>
      <c r="K66" s="107">
        <f t="shared" si="6"/>
        <v>6753259000000</v>
      </c>
      <c r="L66" s="130">
        <f t="shared" si="3"/>
        <v>0</v>
      </c>
      <c r="M66" s="119">
        <f>298461000*A55</f>
        <v>4327684500000</v>
      </c>
      <c r="N66" s="119">
        <f>555591000*A55</f>
        <v>8056069500000</v>
      </c>
      <c r="O66" s="135">
        <f t="shared" si="4"/>
        <v>0.53719552692538219</v>
      </c>
    </row>
    <row r="67" spans="2:15" ht="15.95" customHeight="1" x14ac:dyDescent="0.25">
      <c r="B67" s="41" t="str">
        <f>'X3'!B67</f>
        <v>TINS</v>
      </c>
      <c r="C67" s="42" t="str">
        <f>'X3'!C67</f>
        <v>PT TIMAH</v>
      </c>
      <c r="D67" s="106">
        <v>4520</v>
      </c>
      <c r="E67" s="107">
        <v>11016677000000</v>
      </c>
      <c r="F67" s="123">
        <f t="shared" si="0"/>
        <v>4.10287058429688E-10</v>
      </c>
      <c r="G67" s="84">
        <v>755</v>
      </c>
      <c r="H67" s="118">
        <v>875</v>
      </c>
      <c r="I67" s="126">
        <f t="shared" si="7"/>
        <v>0.86285714285714288</v>
      </c>
      <c r="J67" s="118">
        <v>0</v>
      </c>
      <c r="K67" s="107">
        <f t="shared" si="6"/>
        <v>11016677000000</v>
      </c>
      <c r="L67" s="130">
        <f t="shared" si="3"/>
        <v>0</v>
      </c>
      <c r="M67" s="119">
        <v>3100142000000</v>
      </c>
      <c r="N67" s="119">
        <v>15220685000000</v>
      </c>
      <c r="O67" s="135">
        <f t="shared" si="4"/>
        <v>0.20367953216297427</v>
      </c>
    </row>
    <row r="68" spans="2:15" ht="15.95" customHeight="1" x14ac:dyDescent="0.25">
      <c r="B68" s="41" t="str">
        <f>'X3'!B68</f>
        <v>TOBA</v>
      </c>
      <c r="C68" s="42" t="str">
        <f>'X3'!C68</f>
        <v>PT TOBA SEJAHTERA</v>
      </c>
      <c r="D68" s="106">
        <v>857</v>
      </c>
      <c r="E68" s="107">
        <f>525524499*A55</f>
        <v>7620105235500</v>
      </c>
      <c r="F68" s="123">
        <f t="shared" si="0"/>
        <v>1.1246563840187795E-10</v>
      </c>
      <c r="G68" s="84">
        <v>405</v>
      </c>
      <c r="H68" s="118">
        <v>389</v>
      </c>
      <c r="I68" s="126">
        <f t="shared" si="7"/>
        <v>1.0411311053984575</v>
      </c>
      <c r="J68" s="118">
        <v>0</v>
      </c>
      <c r="K68" s="107">
        <f t="shared" si="6"/>
        <v>7620105235500</v>
      </c>
      <c r="L68" s="130">
        <f t="shared" si="3"/>
        <v>0</v>
      </c>
      <c r="M68" s="119">
        <f>42035437*A55</f>
        <v>609513836500</v>
      </c>
      <c r="N68" s="119">
        <f>501883194*A55</f>
        <v>7277306313000</v>
      </c>
      <c r="O68" s="135">
        <f t="shared" si="4"/>
        <v>8.3755418596463307E-2</v>
      </c>
    </row>
    <row r="69" spans="2:15" ht="15.95" customHeight="1" x14ac:dyDescent="0.25">
      <c r="B69" s="41" t="str">
        <f>'X3'!B69</f>
        <v>AMFG</v>
      </c>
      <c r="C69" s="42" t="str">
        <f>'X3'!C69</f>
        <v>PT ASAHIMAS FLAT GLASS</v>
      </c>
      <c r="D69" s="106">
        <v>2841</v>
      </c>
      <c r="E69" s="107">
        <v>4443262000000</v>
      </c>
      <c r="F69" s="123">
        <f t="shared" si="0"/>
        <v>6.3939511106930001E-10</v>
      </c>
      <c r="G69" s="84">
        <v>3690</v>
      </c>
      <c r="H69" s="118">
        <v>8287</v>
      </c>
      <c r="I69" s="126">
        <f t="shared" si="7"/>
        <v>0.44527573307590201</v>
      </c>
      <c r="J69" s="118">
        <v>0</v>
      </c>
      <c r="K69" s="107">
        <f t="shared" si="6"/>
        <v>4443262000000</v>
      </c>
      <c r="L69" s="130">
        <f t="shared" si="3"/>
        <v>0</v>
      </c>
      <c r="M69" s="119">
        <f>5940400000000</f>
        <v>5940400000000</v>
      </c>
      <c r="N69" s="119">
        <f>8432632000000</f>
        <v>8432632000000</v>
      </c>
      <c r="O69" s="135">
        <f t="shared" si="4"/>
        <v>0.70445384074628181</v>
      </c>
    </row>
    <row r="70" spans="2:15" ht="15.95" customHeight="1" x14ac:dyDescent="0.25">
      <c r="B70" s="41" t="str">
        <f>'X3'!B70</f>
        <v>BRPT</v>
      </c>
      <c r="C70" s="42" t="str">
        <f>'X3'!C70</f>
        <v>PT BARITO PACIFIC</v>
      </c>
      <c r="D70" s="106">
        <v>3263</v>
      </c>
      <c r="E70" s="107">
        <f>3075561000*A55</f>
        <v>44595634500000</v>
      </c>
      <c r="F70" s="123">
        <f t="shared" si="0"/>
        <v>7.3168596805142435E-11</v>
      </c>
      <c r="G70" s="83">
        <v>478</v>
      </c>
      <c r="H70" s="44">
        <v>420</v>
      </c>
      <c r="I70" s="126">
        <f t="shared" si="7"/>
        <v>1.138095238095238</v>
      </c>
      <c r="J70" s="118">
        <v>0</v>
      </c>
      <c r="K70" s="107">
        <f t="shared" si="6"/>
        <v>44595634500000</v>
      </c>
      <c r="L70" s="130">
        <f t="shared" si="3"/>
        <v>0</v>
      </c>
      <c r="M70" s="119">
        <f>2354458000*A55</f>
        <v>34139641000000</v>
      </c>
      <c r="N70" s="119">
        <f>7042491000*A55</f>
        <v>102116119500000</v>
      </c>
      <c r="O70" s="135">
        <f t="shared" si="4"/>
        <v>0.33432176200154179</v>
      </c>
    </row>
    <row r="71" spans="2:15" ht="15.95" customHeight="1" x14ac:dyDescent="0.25">
      <c r="B71" s="41" t="str">
        <f>'X3'!B71</f>
        <v>CPIN</v>
      </c>
      <c r="C71" s="42" t="e">
        <f>'X3'!#REF!</f>
        <v>#REF!</v>
      </c>
      <c r="D71" s="106">
        <v>6540</v>
      </c>
      <c r="E71" s="107">
        <v>53957604000000</v>
      </c>
      <c r="F71" s="123">
        <f t="shared" si="0"/>
        <v>1.2120627150160337E-10</v>
      </c>
      <c r="G71" s="84">
        <v>7225</v>
      </c>
      <c r="H71" s="118">
        <v>1182</v>
      </c>
      <c r="I71" s="126">
        <f t="shared" si="7"/>
        <v>6.112521150592217</v>
      </c>
      <c r="J71" s="118">
        <v>194753000000</v>
      </c>
      <c r="K71" s="107">
        <f t="shared" si="6"/>
        <v>53957604000000</v>
      </c>
      <c r="L71" s="130">
        <f t="shared" si="3"/>
        <v>3.6093707941516453E-3</v>
      </c>
      <c r="M71" s="119">
        <v>11685261000000</v>
      </c>
      <c r="N71" s="119">
        <v>27645118000000</v>
      </c>
      <c r="O71" s="135">
        <f t="shared" si="4"/>
        <v>0.42268804929680531</v>
      </c>
    </row>
    <row r="72" spans="2:15" ht="15.95" customHeight="1" x14ac:dyDescent="0.25">
      <c r="B72" s="41" t="str">
        <f>'X3'!B72</f>
        <v>CPRO</v>
      </c>
      <c r="C72" s="42" t="str">
        <f>'X3'!C72</f>
        <v>PT CENTRAL PROTEINA PRIMA</v>
      </c>
      <c r="D72" s="106">
        <v>2105</v>
      </c>
      <c r="E72" s="107">
        <v>7390580000000</v>
      </c>
      <c r="F72" s="123">
        <f t="shared" ref="F72:F98" si="8">D72/E72</f>
        <v>2.84822030206019E-10</v>
      </c>
      <c r="G72" s="84">
        <v>50</v>
      </c>
      <c r="H72" s="118">
        <v>11</v>
      </c>
      <c r="I72" s="126">
        <f t="shared" si="7"/>
        <v>4.5454545454545459</v>
      </c>
      <c r="J72" s="118">
        <v>43235000000</v>
      </c>
      <c r="K72" s="107">
        <f t="shared" si="6"/>
        <v>7390580000000</v>
      </c>
      <c r="L72" s="130">
        <f t="shared" ref="L72:L142" si="9">J72/K72</f>
        <v>5.8500144778894213E-3</v>
      </c>
      <c r="M72" s="119">
        <v>4206297000000</v>
      </c>
      <c r="N72" s="119">
        <v>6572440000000</v>
      </c>
      <c r="O72" s="135">
        <f t="shared" si="4"/>
        <v>0.6399901710780167</v>
      </c>
    </row>
    <row r="73" spans="2:15" ht="15.95" customHeight="1" x14ac:dyDescent="0.25">
      <c r="B73" s="48" t="str">
        <f>'X3'!B73</f>
        <v>CTBN</v>
      </c>
      <c r="C73" s="49" t="str">
        <f>'X3'!C71</f>
        <v>PT CHAROEN POKPHAND INDONESIA</v>
      </c>
      <c r="D73" s="106">
        <v>766</v>
      </c>
      <c r="E73" s="107">
        <f>85593299*A55</f>
        <v>1241102835500</v>
      </c>
      <c r="F73" s="123">
        <f t="shared" si="8"/>
        <v>6.171930142206173E-10</v>
      </c>
      <c r="G73" s="84">
        <v>4300</v>
      </c>
      <c r="H73" s="118">
        <v>1793</v>
      </c>
      <c r="I73" s="126">
        <f t="shared" si="7"/>
        <v>2.3982152816508644</v>
      </c>
      <c r="J73" s="118">
        <v>0</v>
      </c>
      <c r="K73" s="107">
        <f t="shared" si="6"/>
        <v>1241102835500</v>
      </c>
      <c r="L73" s="130">
        <f t="shared" si="9"/>
        <v>0</v>
      </c>
      <c r="M73" s="119">
        <f>46433344*A55</f>
        <v>673283488000</v>
      </c>
      <c r="N73" s="119">
        <f>155653317*A55</f>
        <v>2256973096500</v>
      </c>
      <c r="O73" s="135">
        <f t="shared" si="4"/>
        <v>0.29831258912394393</v>
      </c>
    </row>
    <row r="74" spans="2:15" ht="15.95" customHeight="1" x14ac:dyDescent="0.25">
      <c r="B74" s="48" t="str">
        <f>'X3'!B74</f>
        <v>EKAD</v>
      </c>
      <c r="C74" s="49" t="str">
        <f>'X3'!C74</f>
        <v xml:space="preserve">EKADHARMA INTERNATIONAL </v>
      </c>
      <c r="D74" s="106">
        <v>478</v>
      </c>
      <c r="E74" s="107">
        <v>739578860399</v>
      </c>
      <c r="F74" s="123">
        <f t="shared" si="8"/>
        <v>6.4631376800321305E-10</v>
      </c>
      <c r="G74" s="84">
        <v>855</v>
      </c>
      <c r="H74" s="118">
        <v>1036</v>
      </c>
      <c r="I74" s="126">
        <f t="shared" si="7"/>
        <v>0.82528957528957525</v>
      </c>
      <c r="J74" s="118">
        <v>0</v>
      </c>
      <c r="K74" s="107">
        <f t="shared" si="6"/>
        <v>739578860399</v>
      </c>
      <c r="L74" s="130">
        <f t="shared" si="9"/>
        <v>0</v>
      </c>
      <c r="M74" s="119">
        <v>371559780027</v>
      </c>
      <c r="N74" s="119">
        <v>853267454400</v>
      </c>
      <c r="O74" s="135">
        <f t="shared" si="4"/>
        <v>0.43545523517977508</v>
      </c>
    </row>
    <row r="75" spans="2:15" ht="15.95" customHeight="1" x14ac:dyDescent="0.25">
      <c r="B75" s="48" t="str">
        <f>'X3'!B75</f>
        <v>FASW</v>
      </c>
      <c r="C75" s="49" t="str">
        <f>'X3'!C75</f>
        <v>PT FAJAR SURYA WISESA</v>
      </c>
      <c r="D75" s="106">
        <v>2914</v>
      </c>
      <c r="E75" s="107">
        <v>9938310691329</v>
      </c>
      <c r="F75" s="123">
        <f t="shared" si="8"/>
        <v>2.9320878472257999E-10</v>
      </c>
      <c r="G75" s="84">
        <v>7775</v>
      </c>
      <c r="H75" s="118">
        <v>1730</v>
      </c>
      <c r="I75" s="126">
        <f t="shared" si="7"/>
        <v>4.4942196531791909</v>
      </c>
      <c r="J75" s="118">
        <v>0</v>
      </c>
      <c r="K75" s="107">
        <f t="shared" si="6"/>
        <v>9938310691329</v>
      </c>
      <c r="L75" s="130">
        <f t="shared" si="9"/>
        <v>0</v>
      </c>
      <c r="M75" s="119">
        <v>7263839935749</v>
      </c>
      <c r="N75" s="119">
        <v>10965118706784</v>
      </c>
      <c r="O75" s="135">
        <f t="shared" si="4"/>
        <v>0.66244973082279002</v>
      </c>
    </row>
    <row r="76" spans="2:15" ht="15.95" customHeight="1" x14ac:dyDescent="0.25">
      <c r="B76" s="48" t="str">
        <f>'X3'!B76</f>
        <v>INKP</v>
      </c>
      <c r="C76" s="49" t="str">
        <f>'X3'!C76</f>
        <v>PT INDAH KIAT PULP &amp; PAPER</v>
      </c>
      <c r="D76" s="106">
        <v>12000</v>
      </c>
      <c r="E76" s="107">
        <f>3335441000*A55</f>
        <v>48363894500000</v>
      </c>
      <c r="F76" s="123">
        <f t="shared" si="8"/>
        <v>2.4811897644016239E-10</v>
      </c>
      <c r="G76" s="84">
        <v>11550</v>
      </c>
      <c r="H76" s="118">
        <v>10024</v>
      </c>
      <c r="I76" s="126">
        <f t="shared" si="7"/>
        <v>1.1522346368715084</v>
      </c>
      <c r="J76" s="118">
        <v>0</v>
      </c>
      <c r="K76" s="107">
        <f t="shared" si="6"/>
        <v>48363894500000</v>
      </c>
      <c r="L76" s="130">
        <f t="shared" si="9"/>
        <v>0</v>
      </c>
      <c r="M76" s="119">
        <f>3933605000*A55</f>
        <v>57037272500000</v>
      </c>
      <c r="N76" s="119">
        <f>8751013000*A55</f>
        <v>126889688500000</v>
      </c>
      <c r="O76" s="135">
        <f t="shared" si="4"/>
        <v>0.44950281755952137</v>
      </c>
    </row>
    <row r="77" spans="2:15" ht="15.95" customHeight="1" x14ac:dyDescent="0.25">
      <c r="B77" s="48" t="str">
        <f>'X3'!B77</f>
        <v>INTP</v>
      </c>
      <c r="C77" s="49"/>
      <c r="D77" s="106">
        <v>5684</v>
      </c>
      <c r="E77" s="107">
        <v>15190283000000</v>
      </c>
      <c r="F77" s="123">
        <f t="shared" si="8"/>
        <v>3.7418657703743898E-10</v>
      </c>
      <c r="G77" s="84">
        <v>18450</v>
      </c>
      <c r="H77" s="118">
        <v>6308</v>
      </c>
      <c r="I77" s="126">
        <f t="shared" si="7"/>
        <v>2.924857324032974</v>
      </c>
      <c r="J77" s="118">
        <v>102362000000</v>
      </c>
      <c r="K77" s="107">
        <f t="shared" si="6"/>
        <v>15190283000000</v>
      </c>
      <c r="L77" s="130">
        <f t="shared" si="9"/>
        <v>6.7386499645859131E-3</v>
      </c>
      <c r="M77" s="119">
        <v>14637185000000</v>
      </c>
      <c r="N77" s="119">
        <v>27788562000000</v>
      </c>
      <c r="O77" s="135">
        <f t="shared" ref="O77:O109" si="10">M77/N77</f>
        <v>0.52673416494167635</v>
      </c>
    </row>
    <row r="78" spans="2:15" ht="15.95" customHeight="1" x14ac:dyDescent="0.25">
      <c r="B78" s="48" t="str">
        <f>'X3'!B78</f>
        <v>IPOL</v>
      </c>
      <c r="C78" s="49"/>
      <c r="D78" s="106">
        <v>1222</v>
      </c>
      <c r="E78" s="107">
        <f>211572897*A55</f>
        <v>3067807006500</v>
      </c>
      <c r="F78" s="123">
        <f t="shared" si="8"/>
        <v>3.9833014182797487E-10</v>
      </c>
      <c r="G78" s="84">
        <v>89</v>
      </c>
      <c r="H78" s="118">
        <v>364</v>
      </c>
      <c r="I78" s="126">
        <f t="shared" si="7"/>
        <v>0.2445054945054945</v>
      </c>
      <c r="J78" s="118">
        <f>1455206*A55</f>
        <v>21100487000</v>
      </c>
      <c r="K78" s="107">
        <f t="shared" si="6"/>
        <v>3067807006500</v>
      </c>
      <c r="L78" s="130">
        <f t="shared" si="9"/>
        <v>6.8780359896475777E-3</v>
      </c>
      <c r="M78" s="119">
        <f>180836560*A55</f>
        <v>2622130120000</v>
      </c>
      <c r="N78" s="119">
        <f>292126972*A55</f>
        <v>4235841094000</v>
      </c>
      <c r="O78" s="135">
        <f t="shared" si="10"/>
        <v>0.61903410959259186</v>
      </c>
    </row>
    <row r="79" spans="2:15" ht="15.95" customHeight="1" x14ac:dyDescent="0.25">
      <c r="B79" s="48" t="str">
        <f>'X3'!B79</f>
        <v>JAPFA</v>
      </c>
      <c r="C79" s="49"/>
      <c r="D79" s="106">
        <v>24996</v>
      </c>
      <c r="E79" s="107">
        <v>34012965000000</v>
      </c>
      <c r="F79" s="123">
        <f t="shared" si="8"/>
        <v>7.3489623736125323E-10</v>
      </c>
      <c r="G79" s="84">
        <v>2150</v>
      </c>
      <c r="H79" s="118">
        <v>871</v>
      </c>
      <c r="I79" s="126">
        <f t="shared" si="7"/>
        <v>2.4684270952927667</v>
      </c>
      <c r="J79" s="118">
        <v>14204000000</v>
      </c>
      <c r="K79" s="107">
        <f t="shared" si="6"/>
        <v>34012965000000</v>
      </c>
      <c r="L79" s="130">
        <f t="shared" si="9"/>
        <v>4.1760546309326457E-4</v>
      </c>
      <c r="M79" s="119">
        <v>7935353000000</v>
      </c>
      <c r="N79" s="119">
        <v>23038028000000</v>
      </c>
      <c r="O79" s="135">
        <f t="shared" si="10"/>
        <v>0.34444584406269496</v>
      </c>
    </row>
    <row r="80" spans="2:15" ht="15.95" customHeight="1" x14ac:dyDescent="0.25">
      <c r="B80" s="48" t="str">
        <f>'X3'!B80</f>
        <v>LION</v>
      </c>
      <c r="C80" s="49"/>
      <c r="D80" s="181">
        <v>807</v>
      </c>
      <c r="E80" s="118">
        <v>424128420727</v>
      </c>
      <c r="F80" s="123">
        <f t="shared" si="8"/>
        <v>1.9027255910290533E-9</v>
      </c>
      <c r="G80" s="84">
        <v>680</v>
      </c>
      <c r="H80" s="118">
        <v>913</v>
      </c>
      <c r="I80" s="126">
        <f t="shared" si="7"/>
        <v>0.74479737130339541</v>
      </c>
      <c r="J80" s="118">
        <v>113963264</v>
      </c>
      <c r="K80" s="107">
        <f t="shared" si="6"/>
        <v>424128420727</v>
      </c>
      <c r="L80" s="130">
        <f t="shared" si="9"/>
        <v>2.686998994423792E-4</v>
      </c>
      <c r="M80" s="119">
        <v>88577346166</v>
      </c>
      <c r="N80" s="119">
        <v>696192628101</v>
      </c>
      <c r="O80" s="139">
        <f t="shared" si="10"/>
        <v>0.12723108891229118</v>
      </c>
    </row>
    <row r="81" spans="2:15" ht="15.95" customHeight="1" x14ac:dyDescent="0.25">
      <c r="B81" s="48" t="str">
        <f>'X3'!B81</f>
        <v>MAIN</v>
      </c>
      <c r="C81" s="49"/>
      <c r="D81" s="181">
        <v>3499</v>
      </c>
      <c r="E81" s="118">
        <v>6705892735000</v>
      </c>
      <c r="F81" s="123">
        <f t="shared" si="8"/>
        <v>5.2177989393383882E-10</v>
      </c>
      <c r="G81" s="84">
        <v>1395</v>
      </c>
      <c r="H81" s="118">
        <v>847</v>
      </c>
      <c r="I81" s="126">
        <f t="shared" si="7"/>
        <v>1.6469893742621016</v>
      </c>
      <c r="J81" s="118">
        <v>19288950000</v>
      </c>
      <c r="K81" s="107">
        <f t="shared" si="6"/>
        <v>6705892735000</v>
      </c>
      <c r="L81" s="130">
        <f t="shared" si="9"/>
        <v>2.8764179151457899E-3</v>
      </c>
      <c r="M81" s="119">
        <v>2092575482000</v>
      </c>
      <c r="N81" s="119">
        <v>4335844455000</v>
      </c>
      <c r="O81" s="139">
        <f t="shared" si="10"/>
        <v>0.4826223596621157</v>
      </c>
    </row>
    <row r="82" spans="2:15" ht="15.95" customHeight="1" x14ac:dyDescent="0.25">
      <c r="B82" s="48" t="str">
        <f>'X3'!B82</f>
        <v>MARK</v>
      </c>
      <c r="C82" s="49"/>
      <c r="D82" s="181">
        <v>801</v>
      </c>
      <c r="E82" s="118">
        <v>325472602675</v>
      </c>
      <c r="F82" s="123">
        <f t="shared" si="8"/>
        <v>2.4610366384658094E-9</v>
      </c>
      <c r="G82" s="84">
        <v>397</v>
      </c>
      <c r="H82" s="118">
        <v>62</v>
      </c>
      <c r="I82" s="126">
        <f t="shared" si="7"/>
        <v>6.403225806451613</v>
      </c>
      <c r="J82" s="118">
        <v>0</v>
      </c>
      <c r="K82" s="107">
        <f t="shared" si="6"/>
        <v>325472602675</v>
      </c>
      <c r="L82" s="130">
        <f t="shared" si="9"/>
        <v>0</v>
      </c>
      <c r="M82" s="119">
        <v>150750138714</v>
      </c>
      <c r="N82" s="119">
        <v>318080326465</v>
      </c>
      <c r="O82" s="139">
        <f t="shared" si="10"/>
        <v>0.47393732391238541</v>
      </c>
    </row>
    <row r="83" spans="2:15" ht="15.95" customHeight="1" x14ac:dyDescent="0.25">
      <c r="B83" s="48" t="str">
        <f>'X3'!B83</f>
        <v>SMCB</v>
      </c>
      <c r="C83" s="49"/>
      <c r="D83" s="181">
        <v>2471</v>
      </c>
      <c r="E83" s="118">
        <v>10377729000000</v>
      </c>
      <c r="F83" s="123">
        <f t="shared" si="8"/>
        <v>2.3810604420292724E-10</v>
      </c>
      <c r="G83" s="84">
        <v>1885</v>
      </c>
      <c r="H83" s="118">
        <v>837</v>
      </c>
      <c r="I83" s="126">
        <f t="shared" si="7"/>
        <v>2.2520908004778972</v>
      </c>
      <c r="J83" s="118">
        <v>109571000000</v>
      </c>
      <c r="K83" s="107">
        <f t="shared" si="6"/>
        <v>10377729000000</v>
      </c>
      <c r="L83" s="130">
        <f t="shared" si="9"/>
        <v>1.055828303090204E-2</v>
      </c>
      <c r="M83" s="119">
        <v>15468710000000</v>
      </c>
      <c r="N83" s="119">
        <v>18667187000000</v>
      </c>
      <c r="O83" s="139">
        <f t="shared" si="10"/>
        <v>0.82865779402113449</v>
      </c>
    </row>
    <row r="84" spans="2:15" ht="15.95" customHeight="1" x14ac:dyDescent="0.25">
      <c r="B84" s="48" t="str">
        <f>'X3'!B84</f>
        <v>SGMR</v>
      </c>
      <c r="C84" s="49"/>
      <c r="D84" s="181">
        <v>9536</v>
      </c>
      <c r="E84" s="118">
        <v>30687626000000</v>
      </c>
      <c r="F84" s="123">
        <f t="shared" si="8"/>
        <v>3.107441416289419E-10</v>
      </c>
      <c r="G84" s="84">
        <v>11500</v>
      </c>
      <c r="H84" s="118">
        <v>5519</v>
      </c>
      <c r="I84" s="126">
        <f t="shared" si="7"/>
        <v>2.0837108171770247</v>
      </c>
      <c r="J84" s="118">
        <v>153686000000</v>
      </c>
      <c r="K84" s="118">
        <f t="shared" si="6"/>
        <v>30687626000000</v>
      </c>
      <c r="L84" s="130">
        <f t="shared" si="9"/>
        <v>5.0080771969783517E-3</v>
      </c>
      <c r="M84" s="119">
        <v>32391950000000</v>
      </c>
      <c r="N84" s="119">
        <v>50783836000000</v>
      </c>
      <c r="O84" s="139">
        <f t="shared" si="10"/>
        <v>0.63783976460541503</v>
      </c>
    </row>
    <row r="85" spans="2:15" ht="15.95" customHeight="1" x14ac:dyDescent="0.25">
      <c r="B85" s="48" t="str">
        <f>'X3'!B85</f>
        <v>TRST</v>
      </c>
      <c r="C85" s="49"/>
      <c r="D85" s="181">
        <v>1081</v>
      </c>
      <c r="E85" s="118">
        <v>2630918557954</v>
      </c>
      <c r="F85" s="123">
        <f t="shared" si="8"/>
        <v>4.1088311028550685E-10</v>
      </c>
      <c r="G85" s="84">
        <v>400</v>
      </c>
      <c r="H85" s="118">
        <v>796</v>
      </c>
      <c r="I85" s="126">
        <f t="shared" si="7"/>
        <v>0.50251256281407031</v>
      </c>
      <c r="J85" s="118">
        <v>1460663787</v>
      </c>
      <c r="K85" s="118">
        <f t="shared" si="6"/>
        <v>2630918557954</v>
      </c>
      <c r="L85" s="130">
        <f t="shared" si="9"/>
        <v>5.5519156325991399E-4</v>
      </c>
      <c r="M85" s="119">
        <v>2535555929013</v>
      </c>
      <c r="N85" s="119">
        <v>4284901587126</v>
      </c>
      <c r="O85" s="139">
        <f t="shared" si="10"/>
        <v>0.59174192859670005</v>
      </c>
    </row>
    <row r="86" spans="2:15" ht="15.95" customHeight="1" x14ac:dyDescent="0.25">
      <c r="B86" s="48" t="str">
        <f>'X3'!B86</f>
        <v>UNIC</v>
      </c>
      <c r="C86" s="49"/>
      <c r="D86" s="181">
        <v>623</v>
      </c>
      <c r="E86" s="118">
        <f>350397369*A55</f>
        <v>5080761850500</v>
      </c>
      <c r="F86" s="123">
        <f t="shared" si="8"/>
        <v>1.2261940597327748E-10</v>
      </c>
      <c r="G86" s="84">
        <v>3900</v>
      </c>
      <c r="H86" s="118">
        <v>6309</v>
      </c>
      <c r="I86" s="126">
        <f t="shared" si="7"/>
        <v>0.61816452686638135</v>
      </c>
      <c r="J86" s="118">
        <v>0</v>
      </c>
      <c r="K86" s="118">
        <f t="shared" si="6"/>
        <v>5080761850500</v>
      </c>
      <c r="L86" s="130">
        <f t="shared" si="9"/>
        <v>0</v>
      </c>
      <c r="M86" s="119">
        <f>28937672*A55</f>
        <v>419596244000</v>
      </c>
      <c r="N86" s="119">
        <f>236410388*A55</f>
        <v>3427950626000</v>
      </c>
      <c r="O86" s="139">
        <f t="shared" si="10"/>
        <v>0.12240440128206211</v>
      </c>
    </row>
    <row r="87" spans="2:15" ht="15.95" customHeight="1" x14ac:dyDescent="0.25">
      <c r="B87" s="48" t="str">
        <f>'X3'!B87</f>
        <v>ASII</v>
      </c>
      <c r="C87" s="49"/>
      <c r="D87" s="181">
        <v>226140</v>
      </c>
      <c r="E87" s="118">
        <v>239205000000000</v>
      </c>
      <c r="F87" s="123">
        <f t="shared" si="8"/>
        <v>9.4538157647206363E-10</v>
      </c>
      <c r="G87" s="84">
        <v>8225</v>
      </c>
      <c r="H87" s="118">
        <v>4307</v>
      </c>
      <c r="I87" s="126">
        <f t="shared" si="7"/>
        <v>1.9096819131646157</v>
      </c>
      <c r="J87" s="118">
        <v>123000000000</v>
      </c>
      <c r="K87" s="118">
        <f t="shared" si="6"/>
        <v>239205000000000</v>
      </c>
      <c r="L87" s="130">
        <f t="shared" si="9"/>
        <v>5.1420329842603624E-4</v>
      </c>
      <c r="M87" s="119">
        <v>57733000000000</v>
      </c>
      <c r="N87" s="119">
        <v>344711000000000</v>
      </c>
      <c r="O87" s="139">
        <f t="shared" si="10"/>
        <v>0.1674823257743443</v>
      </c>
    </row>
    <row r="88" spans="2:15" ht="15.95" customHeight="1" x14ac:dyDescent="0.25">
      <c r="B88" s="48" t="str">
        <f>'X3'!B88</f>
        <v>AUTO</v>
      </c>
      <c r="C88" s="49"/>
      <c r="D88" s="181">
        <v>10552</v>
      </c>
      <c r="E88" s="118">
        <v>15356381000000</v>
      </c>
      <c r="F88" s="123">
        <f t="shared" si="8"/>
        <v>6.8714106533303652E-10</v>
      </c>
      <c r="G88" s="84">
        <v>1470</v>
      </c>
      <c r="H88" s="118">
        <v>2336</v>
      </c>
      <c r="I88" s="126">
        <f t="shared" si="7"/>
        <v>0.62928082191780821</v>
      </c>
      <c r="J88" s="118">
        <v>81297000000</v>
      </c>
      <c r="K88" s="118">
        <f t="shared" si="6"/>
        <v>15356381000000</v>
      </c>
      <c r="L88" s="130">
        <f t="shared" si="9"/>
        <v>5.2940207722118899E-3</v>
      </c>
      <c r="M88" s="119">
        <v>3498912000000</v>
      </c>
      <c r="N88" s="119">
        <v>15889648000000</v>
      </c>
      <c r="O88" s="139">
        <f t="shared" si="10"/>
        <v>0.22020072439616031</v>
      </c>
    </row>
    <row r="89" spans="2:15" ht="15.95" customHeight="1" x14ac:dyDescent="0.25">
      <c r="B89" s="48" t="str">
        <f>'X3'!B89</f>
        <v>BATA</v>
      </c>
      <c r="C89" s="49"/>
      <c r="D89" s="181">
        <v>693</v>
      </c>
      <c r="E89" s="118">
        <v>992696071000</v>
      </c>
      <c r="F89" s="123">
        <f t="shared" si="8"/>
        <v>6.9809886454159244E-10</v>
      </c>
      <c r="G89" s="84">
        <v>600</v>
      </c>
      <c r="H89" s="118">
        <v>489</v>
      </c>
      <c r="I89" s="126">
        <f t="shared" si="7"/>
        <v>1.2269938650306749</v>
      </c>
      <c r="J89" s="118">
        <v>9367995000</v>
      </c>
      <c r="K89" s="118">
        <f t="shared" si="6"/>
        <v>992696071000</v>
      </c>
      <c r="L89" s="130">
        <f t="shared" si="9"/>
        <v>9.4369216053842922E-3</v>
      </c>
      <c r="M89" s="119">
        <v>240000026000</v>
      </c>
      <c r="N89" s="119">
        <v>876856225000</v>
      </c>
      <c r="O89" s="139">
        <f t="shared" si="10"/>
        <v>0.27370510598815673</v>
      </c>
    </row>
    <row r="90" spans="2:15" ht="15.95" customHeight="1" x14ac:dyDescent="0.25">
      <c r="B90" s="48" t="str">
        <f>'X3'!B90</f>
        <v>BRAM</v>
      </c>
      <c r="C90" s="49"/>
      <c r="D90" s="181">
        <v>1463</v>
      </c>
      <c r="E90" s="118">
        <f>264440260*A55</f>
        <v>3834383770000</v>
      </c>
      <c r="F90" s="123">
        <f t="shared" si="8"/>
        <v>3.8154761958008185E-10</v>
      </c>
      <c r="G90" s="84">
        <v>6100</v>
      </c>
      <c r="H90" s="118">
        <v>7121</v>
      </c>
      <c r="I90" s="126">
        <f t="shared" si="7"/>
        <v>0.85662126105884007</v>
      </c>
      <c r="J90" s="118">
        <v>0</v>
      </c>
      <c r="K90" s="118">
        <f t="shared" si="6"/>
        <v>3834383770000</v>
      </c>
      <c r="L90" s="130">
        <f t="shared" si="9"/>
        <v>0</v>
      </c>
      <c r="M90" s="119">
        <f>161434765*A55</f>
        <v>2340804092500</v>
      </c>
      <c r="N90" s="119">
        <f>279484828*A55</f>
        <v>4052530006000</v>
      </c>
      <c r="O90" s="139">
        <f t="shared" si="10"/>
        <v>0.57761548687716247</v>
      </c>
    </row>
    <row r="91" spans="2:15" ht="15.95" customHeight="1" x14ac:dyDescent="0.25">
      <c r="B91" s="48" t="str">
        <f>'X3'!B91</f>
        <v>GDYR</v>
      </c>
      <c r="C91" s="49"/>
      <c r="D91" s="181">
        <v>916</v>
      </c>
      <c r="E91" s="118">
        <f>159928209*A55</f>
        <v>2318959030500</v>
      </c>
      <c r="F91" s="123">
        <f t="shared" si="8"/>
        <v>3.9500482240192818E-10</v>
      </c>
      <c r="G91" s="84">
        <v>1940</v>
      </c>
      <c r="H91" s="118">
        <v>1929</v>
      </c>
      <c r="I91" s="126">
        <f t="shared" si="7"/>
        <v>1.0057024364955935</v>
      </c>
      <c r="J91" s="118">
        <f>432844*A55</f>
        <v>6276238000</v>
      </c>
      <c r="K91" s="118">
        <f t="shared" si="6"/>
        <v>2318959030500</v>
      </c>
      <c r="L91" s="130">
        <f t="shared" si="9"/>
        <v>2.7064893848714332E-3</v>
      </c>
      <c r="M91" s="119">
        <f>63473170*A55</f>
        <v>920360965000</v>
      </c>
      <c r="N91" s="119">
        <f>126016356*A55</f>
        <v>1827237162000</v>
      </c>
      <c r="O91" s="139">
        <f t="shared" si="10"/>
        <v>0.50368993370987492</v>
      </c>
    </row>
    <row r="92" spans="2:15" ht="15.95" customHeight="1" x14ac:dyDescent="0.25">
      <c r="B92" s="48" t="str">
        <f>'X3'!B92</f>
        <v>GJTL</v>
      </c>
      <c r="C92" s="49"/>
      <c r="D92" s="181">
        <v>18304</v>
      </c>
      <c r="E92" s="118">
        <v>15349939000000</v>
      </c>
      <c r="F92" s="123">
        <f t="shared" si="8"/>
        <v>1.1924477354600562E-9</v>
      </c>
      <c r="G92" s="84">
        <v>650</v>
      </c>
      <c r="H92" s="118">
        <v>1686</v>
      </c>
      <c r="I92" s="126">
        <f t="shared" si="7"/>
        <v>0.38552787663107946</v>
      </c>
      <c r="J92" s="118">
        <v>56715000000</v>
      </c>
      <c r="K92" s="118">
        <f t="shared" si="6"/>
        <v>15349939000000</v>
      </c>
      <c r="L92" s="130">
        <f t="shared" si="9"/>
        <v>3.694802956545951E-3</v>
      </c>
      <c r="M92" s="119">
        <v>9341227000000</v>
      </c>
      <c r="N92" s="119">
        <v>19711478000000</v>
      </c>
      <c r="O92" s="139">
        <f t="shared" si="10"/>
        <v>0.47389784774130078</v>
      </c>
    </row>
    <row r="93" spans="2:15" ht="15.95" customHeight="1" x14ac:dyDescent="0.25">
      <c r="B93" s="48" t="str">
        <f>'X3'!B93</f>
        <v>GMFI</v>
      </c>
      <c r="C93" s="49"/>
      <c r="D93" s="181">
        <v>4725</v>
      </c>
      <c r="E93" s="118">
        <f>470019786*A55</f>
        <v>6815286897000</v>
      </c>
      <c r="F93" s="123">
        <f t="shared" si="8"/>
        <v>6.9329436477279964E-10</v>
      </c>
      <c r="G93" s="84">
        <v>216</v>
      </c>
      <c r="H93" s="118">
        <v>169</v>
      </c>
      <c r="I93" s="126">
        <f t="shared" si="7"/>
        <v>1.2781065088757397</v>
      </c>
      <c r="J93" s="118">
        <v>0</v>
      </c>
      <c r="K93" s="118">
        <f t="shared" si="6"/>
        <v>6815286897000</v>
      </c>
      <c r="L93" s="130">
        <f t="shared" si="9"/>
        <v>0</v>
      </c>
      <c r="M93" s="119">
        <f>122688407*A55</f>
        <v>1778981901500</v>
      </c>
      <c r="N93" s="119">
        <f>709424473*A55</f>
        <v>10286654858500</v>
      </c>
      <c r="O93" s="139">
        <f t="shared" si="10"/>
        <v>0.17294075926247332</v>
      </c>
    </row>
    <row r="94" spans="2:15" ht="15.95" customHeight="1" x14ac:dyDescent="0.25">
      <c r="B94" s="48" t="str">
        <f>'X3'!B94</f>
        <v>HDTX</v>
      </c>
      <c r="C94" s="49"/>
      <c r="D94" s="181">
        <f>28+379</f>
        <v>407</v>
      </c>
      <c r="E94" s="118">
        <f>528163920000</f>
        <v>528163920000</v>
      </c>
      <c r="F94" s="123">
        <f t="shared" si="8"/>
        <v>7.7059409889263169E-10</v>
      </c>
      <c r="G94" s="84">
        <v>126</v>
      </c>
      <c r="H94" s="118">
        <v>37</v>
      </c>
      <c r="I94" s="126">
        <f t="shared" si="7"/>
        <v>3.4054054054054053</v>
      </c>
      <c r="J94" s="118">
        <v>4033844000</v>
      </c>
      <c r="K94" s="118">
        <f t="shared" si="6"/>
        <v>528163920000</v>
      </c>
      <c r="L94" s="130">
        <f t="shared" si="9"/>
        <v>7.637484968681693E-3</v>
      </c>
      <c r="M94" s="119">
        <f>411184843000</f>
        <v>411184843000</v>
      </c>
      <c r="N94" s="119">
        <f>586940667000</f>
        <v>586940667000</v>
      </c>
      <c r="O94" s="139">
        <f t="shared" si="10"/>
        <v>0.70055606319062569</v>
      </c>
    </row>
    <row r="95" spans="2:15" ht="15.95" customHeight="1" x14ac:dyDescent="0.25">
      <c r="B95" s="48" t="str">
        <f>'X3'!B95</f>
        <v>IMAS</v>
      </c>
      <c r="C95" s="49"/>
      <c r="D95" s="181">
        <v>7155</v>
      </c>
      <c r="E95" s="118">
        <v>17878271522708</v>
      </c>
      <c r="F95" s="123">
        <f t="shared" si="8"/>
        <v>4.0020647359069984E-10</v>
      </c>
      <c r="G95" s="84">
        <v>2160</v>
      </c>
      <c r="H95" s="118">
        <v>2584</v>
      </c>
      <c r="I95" s="126">
        <f t="shared" si="7"/>
        <v>0.83591331269349844</v>
      </c>
      <c r="J95" s="118">
        <v>131125478538</v>
      </c>
      <c r="K95" s="118">
        <f t="shared" si="6"/>
        <v>17878271522708</v>
      </c>
      <c r="L95" s="130">
        <f t="shared" si="9"/>
        <v>7.3343487580134134E-3</v>
      </c>
      <c r="M95" s="119">
        <v>7783839635338</v>
      </c>
      <c r="N95" s="119">
        <v>41044311290764</v>
      </c>
      <c r="O95" s="139">
        <f t="shared" si="10"/>
        <v>0.18964478609949437</v>
      </c>
    </row>
    <row r="96" spans="2:15" ht="15.95" customHeight="1" x14ac:dyDescent="0.25">
      <c r="B96" s="48" t="str">
        <f>'X3'!B96</f>
        <v>INDR</v>
      </c>
      <c r="C96" s="49"/>
      <c r="D96" s="181">
        <v>7502</v>
      </c>
      <c r="E96" s="118">
        <f>839454360*A55</f>
        <v>12172088220000</v>
      </c>
      <c r="F96" s="123">
        <f t="shared" si="8"/>
        <v>6.1632809953459241E-10</v>
      </c>
      <c r="G96" s="84">
        <v>5925</v>
      </c>
      <c r="H96" s="118">
        <v>7766</v>
      </c>
      <c r="I96" s="126">
        <f t="shared" si="7"/>
        <v>0.76294102498068506</v>
      </c>
      <c r="J96" s="118">
        <v>0</v>
      </c>
      <c r="K96" s="118">
        <f t="shared" si="6"/>
        <v>12172088220000</v>
      </c>
      <c r="L96" s="130">
        <f t="shared" si="9"/>
        <v>0</v>
      </c>
      <c r="M96" s="119">
        <f>454075397*A55</f>
        <v>6584093256500</v>
      </c>
      <c r="N96" s="119">
        <f>809964565*A55</f>
        <v>11744486192500</v>
      </c>
      <c r="O96" s="139">
        <f t="shared" si="10"/>
        <v>0.56061143489653775</v>
      </c>
    </row>
    <row r="97" spans="2:15" ht="15.95" customHeight="1" x14ac:dyDescent="0.25">
      <c r="B97" s="48" t="str">
        <f>'X3'!B97</f>
        <v>KBLI</v>
      </c>
      <c r="C97" s="49"/>
      <c r="D97" s="181">
        <v>1143</v>
      </c>
      <c r="E97" s="118">
        <v>4239937390001</v>
      </c>
      <c r="F97" s="123">
        <f t="shared" si="8"/>
        <v>2.6957945244557736E-10</v>
      </c>
      <c r="G97" s="84">
        <v>302</v>
      </c>
      <c r="H97" s="118">
        <v>506</v>
      </c>
      <c r="I97" s="126">
        <f t="shared" si="7"/>
        <v>0.59683794466403162</v>
      </c>
      <c r="J97" s="118">
        <v>1160760031</v>
      </c>
      <c r="K97" s="118">
        <f t="shared" si="6"/>
        <v>4239937390001</v>
      </c>
      <c r="L97" s="130">
        <f t="shared" si="9"/>
        <v>2.7376820085537305E-4</v>
      </c>
      <c r="M97" s="119">
        <v>953319581106</v>
      </c>
      <c r="N97" s="119">
        <v>3244821647076</v>
      </c>
      <c r="O97" s="139">
        <f t="shared" si="10"/>
        <v>0.29379722055449892</v>
      </c>
    </row>
    <row r="98" spans="2:15" ht="15.95" customHeight="1" x14ac:dyDescent="0.25">
      <c r="B98" s="48" t="str">
        <f>'X3'!B98</f>
        <v>MASA</v>
      </c>
      <c r="C98" s="49"/>
      <c r="D98" s="181">
        <v>2905</v>
      </c>
      <c r="E98" s="118">
        <f>298640781*A55</f>
        <v>4330291324500</v>
      </c>
      <c r="F98" s="123">
        <f t="shared" si="8"/>
        <v>6.7085555735339072E-10</v>
      </c>
      <c r="G98" s="84">
        <v>720</v>
      </c>
      <c r="H98" s="118">
        <v>503</v>
      </c>
      <c r="I98" s="126">
        <f t="shared" si="7"/>
        <v>1.4314115308151094</v>
      </c>
      <c r="J98" s="118">
        <f>5134782*A55</f>
        <v>74454339000</v>
      </c>
      <c r="K98" s="118">
        <f t="shared" si="6"/>
        <v>4330291324500</v>
      </c>
      <c r="L98" s="130">
        <f t="shared" si="9"/>
        <v>1.7193840649646575E-2</v>
      </c>
      <c r="M98" s="119">
        <f>334976716*A55</f>
        <v>4857162382000</v>
      </c>
      <c r="N98" s="119">
        <f>557051444*A55</f>
        <v>8077245938000</v>
      </c>
      <c r="O98" s="139">
        <f t="shared" si="10"/>
        <v>0.60133892409405554</v>
      </c>
    </row>
    <row r="99" spans="2:15" ht="15.95" customHeight="1" x14ac:dyDescent="0.25">
      <c r="B99" s="48" t="str">
        <f>'X3'!B99</f>
        <v>PBRX</v>
      </c>
      <c r="C99" s="49"/>
      <c r="D99" s="181">
        <v>37283</v>
      </c>
      <c r="E99" s="118">
        <f>611371311*A55</f>
        <v>8864884009500</v>
      </c>
      <c r="F99" s="123">
        <f>D99/E99</f>
        <v>4.2056951856387402E-9</v>
      </c>
      <c r="G99" s="84">
        <v>550</v>
      </c>
      <c r="H99" s="118">
        <v>562</v>
      </c>
      <c r="I99" s="126">
        <f t="shared" si="7"/>
        <v>0.97864768683274017</v>
      </c>
      <c r="J99" s="118">
        <v>0</v>
      </c>
      <c r="K99" s="118">
        <f t="shared" si="6"/>
        <v>8864884009500</v>
      </c>
      <c r="L99" s="130">
        <f t="shared" si="9"/>
        <v>0</v>
      </c>
      <c r="M99" s="119">
        <f>114026589*A55</f>
        <v>1653385540500</v>
      </c>
      <c r="N99" s="119">
        <f>579066122*A55</f>
        <v>8396458769000</v>
      </c>
      <c r="O99" s="139">
        <f t="shared" si="10"/>
        <v>0.19691462627129824</v>
      </c>
    </row>
    <row r="100" spans="2:15" ht="15.95" customHeight="1" x14ac:dyDescent="0.25">
      <c r="B100" s="48" t="str">
        <f>'X3'!B100</f>
        <v>PTSN</v>
      </c>
      <c r="C100" s="49"/>
      <c r="D100" s="181">
        <v>436</v>
      </c>
      <c r="E100" s="118">
        <f>384574312*A55</f>
        <v>5576327524000</v>
      </c>
      <c r="F100" s="123">
        <f t="shared" ref="F100:F144" si="11">D100/E100</f>
        <v>7.8187659911204317E-11</v>
      </c>
      <c r="G100" s="84">
        <v>663</v>
      </c>
      <c r="H100" s="118">
        <v>190</v>
      </c>
      <c r="I100" s="126">
        <f t="shared" si="7"/>
        <v>3.4894736842105263</v>
      </c>
      <c r="J100" s="118">
        <v>0</v>
      </c>
      <c r="K100" s="118">
        <f t="shared" si="6"/>
        <v>5576327524000</v>
      </c>
      <c r="L100" s="130">
        <f t="shared" si="9"/>
        <v>0</v>
      </c>
      <c r="M100" s="119">
        <f>67806051*A55</f>
        <v>983187739500</v>
      </c>
      <c r="N100" s="119">
        <f>287576140*A55</f>
        <v>4169854030000</v>
      </c>
      <c r="O100" s="139">
        <f t="shared" si="10"/>
        <v>0.23578468992594448</v>
      </c>
    </row>
    <row r="101" spans="2:15" ht="15.95" customHeight="1" x14ac:dyDescent="0.25">
      <c r="B101" s="48" t="str">
        <f>'X3'!B101</f>
        <v>RICY</v>
      </c>
      <c r="C101" s="49"/>
      <c r="D101" s="181">
        <v>2169</v>
      </c>
      <c r="E101" s="118">
        <v>2107868384272</v>
      </c>
      <c r="F101" s="123">
        <f t="shared" si="11"/>
        <v>1.0290016284622595E-9</v>
      </c>
      <c r="G101" s="84">
        <v>164</v>
      </c>
      <c r="H101" s="118">
        <v>693</v>
      </c>
      <c r="I101" s="126">
        <f t="shared" si="7"/>
        <v>0.23665223665223664</v>
      </c>
      <c r="J101" s="118">
        <v>27117434056</v>
      </c>
      <c r="K101" s="118">
        <f t="shared" si="6"/>
        <v>2107868384272</v>
      </c>
      <c r="L101" s="130">
        <f t="shared" si="9"/>
        <v>1.2864861135703983E-2</v>
      </c>
      <c r="M101" s="119">
        <v>314172000548</v>
      </c>
      <c r="N101" s="119">
        <v>1539602054832</v>
      </c>
      <c r="O101" s="139">
        <f t="shared" si="10"/>
        <v>0.20406052301760677</v>
      </c>
    </row>
    <row r="102" spans="2:15" ht="15.95" customHeight="1" x14ac:dyDescent="0.25">
      <c r="B102" s="48" t="str">
        <f>'X3'!B102</f>
        <v>SMSM</v>
      </c>
      <c r="C102" s="49"/>
      <c r="D102" s="181">
        <v>3383</v>
      </c>
      <c r="E102" s="118">
        <v>3933353000000</v>
      </c>
      <c r="F102" s="123">
        <f t="shared" si="11"/>
        <v>8.6008044536048511E-10</v>
      </c>
      <c r="G102" s="84">
        <v>1400</v>
      </c>
      <c r="H102" s="118">
        <v>373</v>
      </c>
      <c r="I102" s="126">
        <f t="shared" si="7"/>
        <v>3.7533512064343162</v>
      </c>
      <c r="J102" s="118">
        <v>10546000000</v>
      </c>
      <c r="K102" s="118">
        <f t="shared" si="6"/>
        <v>3933353000000</v>
      </c>
      <c r="L102" s="130">
        <f t="shared" si="9"/>
        <v>2.6811730348127922E-3</v>
      </c>
      <c r="M102" s="119">
        <v>749122000000</v>
      </c>
      <c r="N102" s="119">
        <v>2801203000000</v>
      </c>
      <c r="O102" s="139">
        <f t="shared" si="10"/>
        <v>0.26742867260958952</v>
      </c>
    </row>
    <row r="103" spans="2:15" ht="15.95" customHeight="1" x14ac:dyDescent="0.25">
      <c r="B103" s="48" t="str">
        <f>'X3'!B103</f>
        <v>SRIL</v>
      </c>
      <c r="C103" s="49"/>
      <c r="D103" s="181">
        <v>18713</v>
      </c>
      <c r="E103" s="118">
        <f>1033945566*A55</f>
        <v>14992210707000</v>
      </c>
      <c r="F103" s="123">
        <f t="shared" si="11"/>
        <v>1.2481814967596959E-9</v>
      </c>
      <c r="G103" s="84">
        <v>358</v>
      </c>
      <c r="H103" s="118">
        <v>367</v>
      </c>
      <c r="I103" s="126">
        <f t="shared" si="7"/>
        <v>0.97547683923705719</v>
      </c>
      <c r="J103" s="118">
        <v>0</v>
      </c>
      <c r="K103" s="118">
        <f t="shared" si="6"/>
        <v>14992210707000</v>
      </c>
      <c r="L103" s="130">
        <f t="shared" si="9"/>
        <v>0</v>
      </c>
      <c r="M103" s="119">
        <f>653580976*A55</f>
        <v>9476924152000</v>
      </c>
      <c r="N103" s="119">
        <f>1364271991*A55</f>
        <v>19781943869500</v>
      </c>
      <c r="O103" s="139">
        <f t="shared" si="10"/>
        <v>0.47906940867482778</v>
      </c>
    </row>
    <row r="104" spans="2:15" ht="15.95" customHeight="1" x14ac:dyDescent="0.25">
      <c r="B104" s="48" t="str">
        <f>'X3'!B104</f>
        <v>VOKS</v>
      </c>
      <c r="C104" s="49"/>
      <c r="D104" s="181">
        <v>1305</v>
      </c>
      <c r="E104" s="118">
        <v>2684419276973</v>
      </c>
      <c r="F104" s="123">
        <f t="shared" si="11"/>
        <v>4.861386636559777E-10</v>
      </c>
      <c r="G104" s="84">
        <v>300</v>
      </c>
      <c r="H104" s="118">
        <v>222</v>
      </c>
      <c r="I104" s="126">
        <f t="shared" si="7"/>
        <v>1.3513513513513513</v>
      </c>
      <c r="J104" s="118">
        <v>0</v>
      </c>
      <c r="K104" s="118">
        <f t="shared" si="6"/>
        <v>2684419276973</v>
      </c>
      <c r="L104" s="130">
        <f t="shared" si="9"/>
        <v>0</v>
      </c>
      <c r="M104" s="119">
        <v>432718446687</v>
      </c>
      <c r="N104" s="119">
        <v>2485382578010</v>
      </c>
      <c r="O104" s="139">
        <f t="shared" si="10"/>
        <v>0.174105367324764</v>
      </c>
    </row>
    <row r="105" spans="2:15" ht="15.95" customHeight="1" x14ac:dyDescent="0.25">
      <c r="B105" s="48" t="str">
        <f>'X3'!B105</f>
        <v>ACST</v>
      </c>
      <c r="C105" s="49"/>
      <c r="D105" s="181">
        <v>422</v>
      </c>
      <c r="E105" s="118">
        <v>3725296000000</v>
      </c>
      <c r="F105" s="123">
        <f t="shared" si="11"/>
        <v>1.1327958905815806E-10</v>
      </c>
      <c r="G105" s="84">
        <v>1555</v>
      </c>
      <c r="H105" s="118">
        <v>222</v>
      </c>
      <c r="I105" s="126">
        <f t="shared" si="7"/>
        <v>7.0045045045045047</v>
      </c>
      <c r="J105" s="118">
        <v>0</v>
      </c>
      <c r="K105" s="118">
        <f t="shared" ref="K105:K142" si="12">E105</f>
        <v>3725296000000</v>
      </c>
      <c r="L105" s="130">
        <f t="shared" si="9"/>
        <v>0</v>
      </c>
      <c r="M105" s="119">
        <v>755129000000</v>
      </c>
      <c r="N105" s="119">
        <v>893631000000</v>
      </c>
      <c r="O105" s="139">
        <f t="shared" si="10"/>
        <v>0.84501209112038411</v>
      </c>
    </row>
    <row r="106" spans="2:15" ht="15.95" customHeight="1" x14ac:dyDescent="0.25">
      <c r="B106" s="48" t="str">
        <f>'X3'!B106</f>
        <v>APLN</v>
      </c>
      <c r="C106" s="49"/>
      <c r="D106" s="181">
        <v>1525</v>
      </c>
      <c r="E106" s="118">
        <v>5035325429000</v>
      </c>
      <c r="F106" s="123">
        <f t="shared" si="11"/>
        <v>3.0286026623364845E-10</v>
      </c>
      <c r="G106" s="84">
        <v>170</v>
      </c>
      <c r="H106" s="118">
        <v>537</v>
      </c>
      <c r="I106" s="126">
        <f t="shared" si="7"/>
        <v>0.31657355679702048</v>
      </c>
      <c r="J106" s="118">
        <v>68063002000</v>
      </c>
      <c r="K106" s="118">
        <f t="shared" si="12"/>
        <v>5035325429000</v>
      </c>
      <c r="L106" s="130">
        <f t="shared" si="9"/>
        <v>1.3517100922217275E-2</v>
      </c>
      <c r="M106" s="119">
        <v>4433790374000</v>
      </c>
      <c r="N106" s="119">
        <v>29583829904000</v>
      </c>
      <c r="O106" s="139">
        <f t="shared" si="10"/>
        <v>0.14987208851550732</v>
      </c>
    </row>
    <row r="107" spans="2:15" ht="15.95" customHeight="1" x14ac:dyDescent="0.25">
      <c r="B107" s="48" t="str">
        <f>'X3'!B107</f>
        <v>ASRI</v>
      </c>
      <c r="C107" s="49"/>
      <c r="D107" s="181">
        <v>1828</v>
      </c>
      <c r="E107" s="118">
        <v>3975258160000</v>
      </c>
      <c r="F107" s="123">
        <f t="shared" si="11"/>
        <v>4.598443488258886E-10</v>
      </c>
      <c r="G107" s="84">
        <v>312</v>
      </c>
      <c r="H107" s="118">
        <v>486</v>
      </c>
      <c r="I107" s="126">
        <f t="shared" si="7"/>
        <v>0.64197530864197527</v>
      </c>
      <c r="J107" s="118">
        <v>107149932000</v>
      </c>
      <c r="K107" s="118">
        <f t="shared" si="12"/>
        <v>3975258160000</v>
      </c>
      <c r="L107" s="130">
        <f t="shared" si="9"/>
        <v>2.6954207170283503E-2</v>
      </c>
      <c r="M107" s="119">
        <v>1329283319000</v>
      </c>
      <c r="N107" s="119">
        <v>20890925564000</v>
      </c>
      <c r="O107" s="139">
        <f t="shared" si="10"/>
        <v>6.3629699647710633E-2</v>
      </c>
    </row>
    <row r="108" spans="2:15" ht="15.95" customHeight="1" x14ac:dyDescent="0.25">
      <c r="B108" s="48" t="str">
        <f>'X3'!B108</f>
        <v>BSDE</v>
      </c>
      <c r="C108" s="49"/>
      <c r="D108" s="181">
        <v>3988</v>
      </c>
      <c r="E108" s="118">
        <v>6628782185008</v>
      </c>
      <c r="F108" s="123">
        <f t="shared" si="11"/>
        <v>6.0161880247317053E-10</v>
      </c>
      <c r="G108" s="84">
        <v>1255</v>
      </c>
      <c r="H108" s="118">
        <v>1430</v>
      </c>
      <c r="I108" s="126">
        <f t="shared" si="7"/>
        <v>0.8776223776223776</v>
      </c>
      <c r="J108" s="118">
        <v>367289031130</v>
      </c>
      <c r="K108" s="118">
        <f t="shared" si="12"/>
        <v>6628782185008</v>
      </c>
      <c r="L108" s="130">
        <f t="shared" si="9"/>
        <v>5.5408221431785774E-2</v>
      </c>
      <c r="M108" s="119">
        <v>676536086022</v>
      </c>
      <c r="N108" s="119">
        <v>52101492204552</v>
      </c>
      <c r="O108" s="139">
        <f t="shared" si="10"/>
        <v>1.298496563910107E-2</v>
      </c>
    </row>
    <row r="109" spans="2:15" ht="15.95" customHeight="1" x14ac:dyDescent="0.25">
      <c r="B109" s="48" t="str">
        <f>'X3'!B109</f>
        <v>CTRA</v>
      </c>
      <c r="C109" s="49"/>
      <c r="D109" s="181">
        <v>3458</v>
      </c>
      <c r="E109" s="118">
        <v>7670405000000</v>
      </c>
      <c r="F109" s="123">
        <f t="shared" si="11"/>
        <v>4.5082365272759392E-10</v>
      </c>
      <c r="G109" s="84">
        <v>1010</v>
      </c>
      <c r="H109" s="118">
        <v>896</v>
      </c>
      <c r="I109" s="126">
        <f t="shared" si="7"/>
        <v>1.1272321428571428</v>
      </c>
      <c r="J109" s="118">
        <v>1048000000</v>
      </c>
      <c r="K109" s="118">
        <f t="shared" si="12"/>
        <v>7670405000000</v>
      </c>
      <c r="L109" s="130">
        <f t="shared" si="9"/>
        <v>1.3662903067047959E-4</v>
      </c>
      <c r="M109" s="119">
        <v>3113950000000</v>
      </c>
      <c r="N109" s="119">
        <v>34289017000000</v>
      </c>
      <c r="O109" s="139">
        <f t="shared" si="10"/>
        <v>9.0814793553282674E-2</v>
      </c>
    </row>
    <row r="110" spans="2:15" ht="15.95" customHeight="1" x14ac:dyDescent="0.25">
      <c r="B110" s="48" t="str">
        <f>'X3'!B110</f>
        <v>DILD</v>
      </c>
      <c r="C110" s="49"/>
      <c r="D110" s="181">
        <v>1570</v>
      </c>
      <c r="E110" s="118">
        <v>2552536173132</v>
      </c>
      <c r="F110" s="123">
        <f t="shared" si="11"/>
        <v>6.1507453509408514E-10</v>
      </c>
      <c r="G110" s="84">
        <v>308</v>
      </c>
      <c r="H110" s="118">
        <v>628</v>
      </c>
      <c r="I110" s="126">
        <f t="shared" si="7"/>
        <v>0.49044585987261147</v>
      </c>
      <c r="J110" s="118">
        <v>69588726459</v>
      </c>
      <c r="K110" s="118">
        <f t="shared" si="12"/>
        <v>2552536173132</v>
      </c>
      <c r="L110" s="130">
        <f t="shared" si="9"/>
        <v>2.7262581894623494E-2</v>
      </c>
      <c r="M110" s="119">
        <v>236880836401</v>
      </c>
      <c r="N110" s="119">
        <v>14215535191206</v>
      </c>
      <c r="O110" s="139">
        <f t="shared" ref="O110:O142" si="13">M110/N110</f>
        <v>1.6663518693797685E-2</v>
      </c>
    </row>
    <row r="111" spans="2:15" ht="15.95" customHeight="1" x14ac:dyDescent="0.25">
      <c r="B111" s="48" t="str">
        <f>'X3'!B111</f>
        <v>DMAS</v>
      </c>
      <c r="C111" s="49"/>
      <c r="D111" s="181">
        <v>504</v>
      </c>
      <c r="E111" s="118">
        <v>1036229521794</v>
      </c>
      <c r="F111" s="123">
        <f t="shared" si="11"/>
        <v>4.8637873115932512E-10</v>
      </c>
      <c r="G111" s="84">
        <v>159</v>
      </c>
      <c r="H111" s="118">
        <v>149</v>
      </c>
      <c r="I111" s="126">
        <f t="shared" si="7"/>
        <v>1.0671140939597314</v>
      </c>
      <c r="J111" s="118">
        <v>4866036952</v>
      </c>
      <c r="K111" s="118">
        <f t="shared" si="12"/>
        <v>1036229521794</v>
      </c>
      <c r="L111" s="130">
        <f t="shared" si="9"/>
        <v>4.6959065049368056E-3</v>
      </c>
      <c r="M111" s="119">
        <v>312802843100</v>
      </c>
      <c r="N111" s="119">
        <v>7500033435372</v>
      </c>
      <c r="O111" s="139">
        <f t="shared" si="13"/>
        <v>4.1706859815416948E-2</v>
      </c>
    </row>
    <row r="112" spans="2:15" ht="15.95" customHeight="1" x14ac:dyDescent="0.25">
      <c r="B112" s="48" t="str">
        <f>'X3'!B112</f>
        <v>ELTY</v>
      </c>
      <c r="C112" s="49"/>
      <c r="D112" s="181">
        <v>623</v>
      </c>
      <c r="E112" s="118">
        <v>1096389373607</v>
      </c>
      <c r="F112" s="123">
        <f t="shared" si="11"/>
        <v>5.6822878349358569E-10</v>
      </c>
      <c r="G112" s="84">
        <v>50</v>
      </c>
      <c r="H112" s="118">
        <v>221</v>
      </c>
      <c r="I112" s="126">
        <f t="shared" si="7"/>
        <v>0.22624434389140272</v>
      </c>
      <c r="J112" s="118">
        <v>9194369358</v>
      </c>
      <c r="K112" s="118">
        <f t="shared" si="12"/>
        <v>1096389373607</v>
      </c>
      <c r="L112" s="130">
        <f t="shared" si="9"/>
        <v>8.386043844762504E-3</v>
      </c>
      <c r="M112" s="119">
        <v>2843634577666</v>
      </c>
      <c r="N112" s="119">
        <v>13606180006238</v>
      </c>
      <c r="O112" s="139">
        <f t="shared" si="13"/>
        <v>0.20899580751998609</v>
      </c>
    </row>
    <row r="113" spans="2:15" ht="15.95" customHeight="1" x14ac:dyDescent="0.25">
      <c r="B113" s="48" t="str">
        <f>'X3'!B113</f>
        <v>JKON</v>
      </c>
      <c r="C113" s="49"/>
      <c r="D113" s="181">
        <v>2137</v>
      </c>
      <c r="E113" s="118">
        <v>5157266424000</v>
      </c>
      <c r="F113" s="123">
        <f t="shared" si="11"/>
        <v>4.1436680293560108E-10</v>
      </c>
      <c r="G113" s="84">
        <v>364</v>
      </c>
      <c r="H113" s="118">
        <v>158</v>
      </c>
      <c r="I113" s="126">
        <f t="shared" si="7"/>
        <v>2.3037974683544302</v>
      </c>
      <c r="J113" s="118">
        <v>0</v>
      </c>
      <c r="K113" s="118">
        <f t="shared" si="12"/>
        <v>5157266424000</v>
      </c>
      <c r="L113" s="130">
        <f t="shared" si="9"/>
        <v>0</v>
      </c>
      <c r="M113" s="119">
        <v>747019235000</v>
      </c>
      <c r="N113" s="119">
        <v>4804256788000</v>
      </c>
      <c r="O113" s="139">
        <f t="shared" si="13"/>
        <v>0.15549111297836812</v>
      </c>
    </row>
    <row r="114" spans="2:15" ht="15.95" customHeight="1" x14ac:dyDescent="0.25">
      <c r="B114" s="48" t="str">
        <f>'X3'!B114</f>
        <v>KIJA</v>
      </c>
      <c r="C114" s="49"/>
      <c r="D114" s="181">
        <v>829</v>
      </c>
      <c r="E114" s="118">
        <v>2711870473438</v>
      </c>
      <c r="F114" s="123">
        <f t="shared" si="11"/>
        <v>3.0569306614007534E-10</v>
      </c>
      <c r="G114" s="84">
        <v>276</v>
      </c>
      <c r="H114" s="118">
        <v>290</v>
      </c>
      <c r="I114" s="126">
        <f t="shared" si="7"/>
        <v>0.9517241379310345</v>
      </c>
      <c r="J114" s="118">
        <v>52358362828</v>
      </c>
      <c r="K114" s="118">
        <f t="shared" si="12"/>
        <v>2711870473438</v>
      </c>
      <c r="L114" s="130">
        <f t="shared" si="9"/>
        <v>1.9307103101285725E-2</v>
      </c>
      <c r="M114" s="119">
        <v>2247379289162</v>
      </c>
      <c r="N114" s="119">
        <v>11783772244027</v>
      </c>
      <c r="O114" s="139">
        <f t="shared" si="13"/>
        <v>0.19071815396815392</v>
      </c>
    </row>
    <row r="115" spans="2:15" ht="15.95" customHeight="1" x14ac:dyDescent="0.25">
      <c r="B115" s="48" t="str">
        <f>'X3'!B115</f>
        <v>LPCK</v>
      </c>
      <c r="C115" s="49"/>
      <c r="D115" s="181">
        <v>546</v>
      </c>
      <c r="E115" s="118">
        <v>2124392000000</v>
      </c>
      <c r="F115" s="123">
        <f t="shared" si="11"/>
        <v>2.5701471291550712E-10</v>
      </c>
      <c r="G115" s="84">
        <v>1416</v>
      </c>
      <c r="H115" s="118">
        <v>2572</v>
      </c>
      <c r="I115" s="126">
        <f t="shared" si="7"/>
        <v>0.55054432348367033</v>
      </c>
      <c r="J115" s="118">
        <v>187139000000</v>
      </c>
      <c r="K115" s="118">
        <f t="shared" si="12"/>
        <v>2124392000000</v>
      </c>
      <c r="L115" s="130">
        <f t="shared" si="9"/>
        <v>8.80906160444965E-2</v>
      </c>
      <c r="M115" s="119">
        <v>94116000000</v>
      </c>
      <c r="N115" s="119">
        <v>9225622000000</v>
      </c>
      <c r="O115" s="139">
        <f t="shared" si="13"/>
        <v>1.0201588575816352E-2</v>
      </c>
    </row>
    <row r="116" spans="2:15" ht="15.95" customHeight="1" x14ac:dyDescent="0.25">
      <c r="B116" s="48" t="str">
        <f>'X3'!B116</f>
        <v>LPKR</v>
      </c>
      <c r="C116" s="49"/>
      <c r="D116" s="181">
        <v>10137</v>
      </c>
      <c r="E116" s="118">
        <v>11275019000000</v>
      </c>
      <c r="F116" s="123">
        <f t="shared" si="11"/>
        <v>8.9906722108406207E-10</v>
      </c>
      <c r="G116" s="84">
        <v>202</v>
      </c>
      <c r="H116" s="118">
        <v>359</v>
      </c>
      <c r="I116" s="126">
        <f t="shared" si="7"/>
        <v>0.56267409470752094</v>
      </c>
      <c r="J116" s="118">
        <v>226993000000</v>
      </c>
      <c r="K116" s="118">
        <f t="shared" si="12"/>
        <v>11275019000000</v>
      </c>
      <c r="L116" s="130">
        <f t="shared" si="9"/>
        <v>2.0132382925474448E-2</v>
      </c>
      <c r="M116" s="119">
        <v>5397911000000</v>
      </c>
      <c r="N116" s="119">
        <v>49083460000000</v>
      </c>
      <c r="O116" s="139">
        <f t="shared" si="13"/>
        <v>0.10997413385282945</v>
      </c>
    </row>
    <row r="117" spans="2:15" ht="15.95" customHeight="1" x14ac:dyDescent="0.25">
      <c r="B117" s="48" t="str">
        <f>'X3'!B117</f>
        <v>MDLN</v>
      </c>
      <c r="C117" s="49"/>
      <c r="D117" s="181">
        <v>1196</v>
      </c>
      <c r="E117" s="118">
        <v>2124202844845</v>
      </c>
      <c r="F117" s="123">
        <f t="shared" si="11"/>
        <v>5.6303474166906621E-10</v>
      </c>
      <c r="G117" s="84">
        <v>226</v>
      </c>
      <c r="H117" s="118">
        <v>544</v>
      </c>
      <c r="I117" s="126">
        <f t="shared" si="7"/>
        <v>0.41544117647058826</v>
      </c>
      <c r="J117" s="118">
        <v>37733592036</v>
      </c>
      <c r="K117" s="118">
        <f t="shared" si="12"/>
        <v>2124202844845</v>
      </c>
      <c r="L117" s="130">
        <f t="shared" si="9"/>
        <v>1.7763648197521065E-2</v>
      </c>
      <c r="M117" s="119">
        <v>1367323295972</v>
      </c>
      <c r="N117" s="119">
        <v>15227479982230</v>
      </c>
      <c r="O117" s="139">
        <f t="shared" si="13"/>
        <v>8.9793143551501906E-2</v>
      </c>
    </row>
    <row r="118" spans="2:15" ht="15.95" customHeight="1" x14ac:dyDescent="0.25">
      <c r="B118" s="48" t="str">
        <f>'X3'!B118</f>
        <v>PBSA</v>
      </c>
      <c r="C118" s="49"/>
      <c r="D118" s="181">
        <v>130</v>
      </c>
      <c r="E118" s="118">
        <v>358691115030</v>
      </c>
      <c r="F118" s="123">
        <f t="shared" si="11"/>
        <v>3.6242882678910832E-10</v>
      </c>
      <c r="G118" s="84">
        <v>705</v>
      </c>
      <c r="H118" s="118">
        <v>362</v>
      </c>
      <c r="I118" s="126">
        <f t="shared" si="7"/>
        <v>1.9475138121546962</v>
      </c>
      <c r="J118" s="118">
        <v>0</v>
      </c>
      <c r="K118" s="118">
        <f t="shared" si="12"/>
        <v>358691115030</v>
      </c>
      <c r="L118" s="130">
        <f t="shared" si="9"/>
        <v>0</v>
      </c>
      <c r="M118" s="119">
        <v>146699767492</v>
      </c>
      <c r="N118" s="119">
        <v>664737875477</v>
      </c>
      <c r="O118" s="139">
        <f t="shared" si="13"/>
        <v>0.22068814325756864</v>
      </c>
    </row>
    <row r="119" spans="2:15" ht="15.95" customHeight="1" x14ac:dyDescent="0.25">
      <c r="B119" s="48" t="str">
        <f>'X3'!B119</f>
        <v>PWON</v>
      </c>
      <c r="C119" s="49"/>
      <c r="D119" s="181">
        <v>3107</v>
      </c>
      <c r="E119" s="118">
        <v>7080668385000</v>
      </c>
      <c r="F119" s="123">
        <f t="shared" si="11"/>
        <v>4.3880038310818307E-10</v>
      </c>
      <c r="G119" s="84">
        <v>620</v>
      </c>
      <c r="H119" s="118">
        <v>317</v>
      </c>
      <c r="I119" s="126">
        <f t="shared" si="7"/>
        <v>1.9558359621451105</v>
      </c>
      <c r="J119" s="118">
        <v>34321399000</v>
      </c>
      <c r="K119" s="118">
        <f t="shared" si="12"/>
        <v>7080668385000</v>
      </c>
      <c r="L119" s="130">
        <f t="shared" si="9"/>
        <v>4.8471976279397524E-3</v>
      </c>
      <c r="M119" s="119">
        <v>1732817498000</v>
      </c>
      <c r="N119" s="119">
        <v>25018080224000</v>
      </c>
      <c r="O119" s="139">
        <f t="shared" si="13"/>
        <v>6.9262608580881332E-2</v>
      </c>
    </row>
    <row r="120" spans="2:15" ht="15.95" customHeight="1" x14ac:dyDescent="0.25">
      <c r="B120" s="48" t="str">
        <f>'X3'!B120</f>
        <v>ABMM</v>
      </c>
      <c r="C120" s="49"/>
      <c r="D120" s="181">
        <v>5046</v>
      </c>
      <c r="E120" s="118">
        <f>773057131*A55</f>
        <v>11209328399500</v>
      </c>
      <c r="F120" s="123">
        <f t="shared" si="11"/>
        <v>4.5016077860874165E-10</v>
      </c>
      <c r="G120" s="84">
        <v>2270</v>
      </c>
      <c r="H120" s="118">
        <v>1309</v>
      </c>
      <c r="I120" s="126">
        <f t="shared" si="7"/>
        <v>1.73414820473644</v>
      </c>
      <c r="J120" s="118">
        <v>0</v>
      </c>
      <c r="K120" s="118">
        <f t="shared" si="12"/>
        <v>11209328399500</v>
      </c>
      <c r="L120" s="130">
        <f t="shared" si="9"/>
        <v>0</v>
      </c>
      <c r="M120" s="119">
        <f>401024694*A55</f>
        <v>5814858063000</v>
      </c>
      <c r="N120" s="119">
        <f>851949796*A55</f>
        <v>12353272042000</v>
      </c>
      <c r="O120" s="139">
        <f t="shared" si="13"/>
        <v>0.47071399733042485</v>
      </c>
    </row>
    <row r="121" spans="2:15" ht="15.95" customHeight="1" x14ac:dyDescent="0.25">
      <c r="B121" s="48" t="str">
        <f>'X3'!B121</f>
        <v>AKRA</v>
      </c>
      <c r="C121" s="49"/>
      <c r="D121" s="181">
        <v>1841</v>
      </c>
      <c r="E121" s="118">
        <v>23548144117000</v>
      </c>
      <c r="F121" s="123">
        <f t="shared" si="11"/>
        <v>7.8180258743657668E-11</v>
      </c>
      <c r="G121" s="84">
        <v>4290</v>
      </c>
      <c r="H121" s="118">
        <v>2472</v>
      </c>
      <c r="I121" s="126">
        <f t="shared" si="7"/>
        <v>1.7354368932038835</v>
      </c>
      <c r="J121" s="118">
        <v>15496138000</v>
      </c>
      <c r="K121" s="118">
        <f t="shared" si="12"/>
        <v>23548144117000</v>
      </c>
      <c r="L121" s="130">
        <f t="shared" si="9"/>
        <v>6.5806196543586411E-4</v>
      </c>
      <c r="M121" s="119">
        <v>4921528198000</v>
      </c>
      <c r="N121" s="119">
        <v>19940850599000</v>
      </c>
      <c r="O121" s="139">
        <f t="shared" si="13"/>
        <v>0.24680633223573753</v>
      </c>
    </row>
    <row r="122" spans="2:15" ht="15.95" customHeight="1" x14ac:dyDescent="0.25">
      <c r="B122" s="48" t="str">
        <f>'X3'!B122</f>
        <v>AMRT</v>
      </c>
      <c r="C122" s="49"/>
      <c r="D122" s="181">
        <v>51656</v>
      </c>
      <c r="E122" s="118">
        <v>66817305000000</v>
      </c>
      <c r="F122" s="123">
        <f t="shared" si="11"/>
        <v>7.7309313807253971E-10</v>
      </c>
      <c r="G122" s="84">
        <v>935</v>
      </c>
      <c r="H122" s="118">
        <v>144</v>
      </c>
      <c r="I122" s="126">
        <f t="shared" si="7"/>
        <v>6.4930555555555554</v>
      </c>
      <c r="J122" s="118">
        <v>43514000000</v>
      </c>
      <c r="K122" s="118">
        <f t="shared" si="12"/>
        <v>66817305000000</v>
      </c>
      <c r="L122" s="130">
        <f t="shared" si="9"/>
        <v>6.5123847781648782E-4</v>
      </c>
      <c r="M122" s="119">
        <v>5497240000000</v>
      </c>
      <c r="N122" s="119">
        <v>22165968000000</v>
      </c>
      <c r="O122" s="139">
        <f t="shared" si="13"/>
        <v>0.24800360624900297</v>
      </c>
    </row>
    <row r="123" spans="2:15" ht="15.95" customHeight="1" x14ac:dyDescent="0.25">
      <c r="B123" s="48" t="str">
        <f>'X3'!B123</f>
        <v>ATIC</v>
      </c>
      <c r="C123" s="49"/>
      <c r="D123" s="181">
        <v>1721</v>
      </c>
      <c r="E123" s="118">
        <v>5433508833578</v>
      </c>
      <c r="F123" s="123">
        <f t="shared" si="11"/>
        <v>3.1673823540408427E-10</v>
      </c>
      <c r="G123" s="84">
        <v>913</v>
      </c>
      <c r="H123" s="118">
        <v>381</v>
      </c>
      <c r="I123" s="126">
        <f t="shared" ref="I123:I142" si="14">G123/H123</f>
        <v>2.3963254593175853</v>
      </c>
      <c r="J123" s="118">
        <v>6975976176</v>
      </c>
      <c r="K123" s="118">
        <f t="shared" si="12"/>
        <v>5433508833578</v>
      </c>
      <c r="L123" s="130">
        <f t="shared" si="9"/>
        <v>1.283880525396381E-3</v>
      </c>
      <c r="M123" s="119">
        <v>533769489762</v>
      </c>
      <c r="N123" s="119">
        <v>3960978683647</v>
      </c>
      <c r="O123" s="139">
        <f t="shared" si="13"/>
        <v>0.13475697103993028</v>
      </c>
    </row>
    <row r="124" spans="2:15" ht="15.95" customHeight="1" x14ac:dyDescent="0.25">
      <c r="B124" s="48" t="str">
        <f>'X3'!B124</f>
        <v>BHIT</v>
      </c>
      <c r="C124" s="49"/>
      <c r="D124" s="181">
        <v>13867</v>
      </c>
      <c r="E124" s="118">
        <v>14725851000000</v>
      </c>
      <c r="F124" s="123">
        <f t="shared" si="11"/>
        <v>9.4167732649203093E-10</v>
      </c>
      <c r="G124" s="84">
        <v>62</v>
      </c>
      <c r="H124" s="118">
        <v>332</v>
      </c>
      <c r="I124" s="126">
        <f t="shared" si="14"/>
        <v>0.18674698795180722</v>
      </c>
      <c r="J124" s="118">
        <v>2776938000000</v>
      </c>
      <c r="K124" s="118">
        <f t="shared" si="12"/>
        <v>14725851000000</v>
      </c>
      <c r="L124" s="130">
        <f t="shared" si="9"/>
        <v>0.18857572306007986</v>
      </c>
      <c r="M124" s="119">
        <v>14211194000000</v>
      </c>
      <c r="N124" s="119">
        <v>56421973000000</v>
      </c>
      <c r="O124" s="139">
        <f t="shared" si="13"/>
        <v>0.25187339691222782</v>
      </c>
    </row>
    <row r="125" spans="2:15" ht="15.95" customHeight="1" x14ac:dyDescent="0.25">
      <c r="B125" s="48" t="str">
        <f>'X3'!B125</f>
        <v>BMSR</v>
      </c>
      <c r="C125" s="49"/>
      <c r="D125" s="181">
        <v>57</v>
      </c>
      <c r="E125" s="118">
        <v>3233006982684</v>
      </c>
      <c r="F125" s="123">
        <f t="shared" si="11"/>
        <v>1.7630645496682271E-11</v>
      </c>
      <c r="G125" s="84">
        <v>170</v>
      </c>
      <c r="H125" s="118">
        <v>127</v>
      </c>
      <c r="I125" s="126">
        <f t="shared" si="14"/>
        <v>1.3385826771653544</v>
      </c>
      <c r="J125" s="118">
        <v>0</v>
      </c>
      <c r="K125" s="118">
        <f t="shared" si="12"/>
        <v>3233006982684</v>
      </c>
      <c r="L125" s="130">
        <f t="shared" si="9"/>
        <v>0</v>
      </c>
      <c r="M125" s="119">
        <v>24249385018</v>
      </c>
      <c r="N125" s="119">
        <v>597892996224</v>
      </c>
      <c r="O125" s="139">
        <f t="shared" si="13"/>
        <v>4.0558068368666746E-2</v>
      </c>
    </row>
    <row r="126" spans="2:15" ht="15.95" customHeight="1" x14ac:dyDescent="0.25">
      <c r="B126" s="48" t="str">
        <f>'X3'!B126</f>
        <v>BMTR</v>
      </c>
      <c r="C126" s="49"/>
      <c r="D126" s="181">
        <v>11176</v>
      </c>
      <c r="E126" s="118">
        <v>11695216000000</v>
      </c>
      <c r="F126" s="123">
        <f t="shared" si="11"/>
        <v>9.5560441123960427E-10</v>
      </c>
      <c r="G126" s="84">
        <v>242</v>
      </c>
      <c r="H126" s="118">
        <v>862</v>
      </c>
      <c r="I126" s="126">
        <f t="shared" si="14"/>
        <v>0.28074245939675174</v>
      </c>
      <c r="J126" s="118">
        <v>286502000000</v>
      </c>
      <c r="K126" s="118">
        <f t="shared" si="12"/>
        <v>11695216000000</v>
      </c>
      <c r="L126" s="130">
        <f t="shared" si="9"/>
        <v>2.4497367128576333E-2</v>
      </c>
      <c r="M126" s="119">
        <v>12733856000000</v>
      </c>
      <c r="N126" s="119">
        <v>28968162000000</v>
      </c>
      <c r="O126" s="139">
        <f t="shared" si="13"/>
        <v>0.43958108215495345</v>
      </c>
    </row>
    <row r="127" spans="2:15" ht="15.95" customHeight="1" x14ac:dyDescent="0.25">
      <c r="B127" s="48" t="str">
        <f>'X3'!B127</f>
        <v>EMTK</v>
      </c>
      <c r="C127" s="49"/>
      <c r="D127" s="181">
        <v>5403</v>
      </c>
      <c r="E127" s="118">
        <v>8959710884000</v>
      </c>
      <c r="F127" s="123">
        <f t="shared" si="11"/>
        <v>6.0303285116582568E-10</v>
      </c>
      <c r="G127" s="84">
        <v>8400</v>
      </c>
      <c r="H127" s="118">
        <v>2739</v>
      </c>
      <c r="I127" s="126">
        <f t="shared" si="14"/>
        <v>3.0668127053669223</v>
      </c>
      <c r="J127" s="118">
        <v>76174005000</v>
      </c>
      <c r="K127" s="118">
        <f t="shared" si="12"/>
        <v>8959710884000</v>
      </c>
      <c r="L127" s="130">
        <f t="shared" si="9"/>
        <v>8.5018373903146139E-3</v>
      </c>
      <c r="M127" s="119">
        <v>2518586345000</v>
      </c>
      <c r="N127" s="119">
        <v>19525411684000</v>
      </c>
      <c r="O127" s="139">
        <f t="shared" si="13"/>
        <v>0.12899017883775751</v>
      </c>
    </row>
    <row r="128" spans="2:15" ht="15.95" customHeight="1" x14ac:dyDescent="0.25">
      <c r="B128" s="48" t="str">
        <f>'X3'!B128</f>
        <v>ERAA</v>
      </c>
      <c r="C128" s="49"/>
      <c r="D128" s="181">
        <v>2750</v>
      </c>
      <c r="E128" s="118">
        <v>34744177481000</v>
      </c>
      <c r="F128" s="123">
        <f t="shared" si="11"/>
        <v>7.9149952578496042E-11</v>
      </c>
      <c r="G128" s="84">
        <v>2200</v>
      </c>
      <c r="H128" s="118">
        <v>1512</v>
      </c>
      <c r="I128" s="126">
        <f t="shared" si="14"/>
        <v>1.4550264550264551</v>
      </c>
      <c r="J128" s="118">
        <v>254325758000</v>
      </c>
      <c r="K128" s="118">
        <f t="shared" si="12"/>
        <v>34744177481000</v>
      </c>
      <c r="L128" s="130">
        <f t="shared" si="9"/>
        <v>7.3199533400691123E-3</v>
      </c>
      <c r="M128" s="119">
        <v>553675716000</v>
      </c>
      <c r="N128" s="119">
        <v>12682902626000</v>
      </c>
      <c r="O128" s="139">
        <f t="shared" si="13"/>
        <v>4.3655283993504976E-2</v>
      </c>
    </row>
    <row r="129" spans="2:15" ht="15.95" customHeight="1" x14ac:dyDescent="0.25">
      <c r="B129" s="48" t="str">
        <f>'X3'!B129</f>
        <v>HERO</v>
      </c>
      <c r="C129" s="49"/>
      <c r="D129" s="181">
        <v>13734</v>
      </c>
      <c r="E129" s="118">
        <v>12970389000000</v>
      </c>
      <c r="F129" s="123">
        <f t="shared" si="11"/>
        <v>1.0588734077289431E-9</v>
      </c>
      <c r="G129" s="84">
        <v>790</v>
      </c>
      <c r="H129" s="118">
        <v>942</v>
      </c>
      <c r="I129" s="126">
        <f t="shared" si="14"/>
        <v>0.83864118895966033</v>
      </c>
      <c r="J129" s="118">
        <v>313671000000</v>
      </c>
      <c r="K129" s="118">
        <f t="shared" si="12"/>
        <v>12970389000000</v>
      </c>
      <c r="L129" s="130">
        <f t="shared" si="9"/>
        <v>2.4183623174293383E-2</v>
      </c>
      <c r="M129" s="119">
        <v>2782800000000</v>
      </c>
      <c r="N129" s="119">
        <v>6154748000000</v>
      </c>
      <c r="O129" s="139">
        <f t="shared" si="13"/>
        <v>0.45213873906778962</v>
      </c>
    </row>
    <row r="130" spans="2:15" ht="15.95" customHeight="1" x14ac:dyDescent="0.25">
      <c r="B130" s="48" t="str">
        <f>'X3'!B130</f>
        <v>HEXA</v>
      </c>
      <c r="C130" s="49"/>
      <c r="D130" s="181">
        <v>1565</v>
      </c>
      <c r="E130" s="118">
        <f>461333111*A55</f>
        <v>6689330109500</v>
      </c>
      <c r="F130" s="123">
        <f t="shared" si="11"/>
        <v>2.3395466726592408E-10</v>
      </c>
      <c r="G130" s="84">
        <v>2850</v>
      </c>
      <c r="H130" s="118">
        <v>2930</v>
      </c>
      <c r="I130" s="126">
        <f t="shared" si="14"/>
        <v>0.97269624573378843</v>
      </c>
      <c r="J130" s="118">
        <v>0</v>
      </c>
      <c r="K130" s="118">
        <f t="shared" si="12"/>
        <v>6689330109500</v>
      </c>
      <c r="L130" s="130">
        <f t="shared" si="9"/>
        <v>0</v>
      </c>
      <c r="M130" s="119">
        <f>32395945*A55</f>
        <v>469741202500</v>
      </c>
      <c r="N130" s="119">
        <f>346312450*A55</f>
        <v>5021530525000</v>
      </c>
      <c r="O130" s="139">
        <f t="shared" si="13"/>
        <v>9.3545424081634951E-2</v>
      </c>
    </row>
    <row r="131" spans="2:15" ht="15.95" customHeight="1" x14ac:dyDescent="0.25">
      <c r="B131" s="48" t="str">
        <f>'X3'!B131</f>
        <v>KREN</v>
      </c>
      <c r="C131" s="49"/>
      <c r="D131" s="181">
        <v>308</v>
      </c>
      <c r="E131" s="118">
        <v>7213057131051</v>
      </c>
      <c r="F131" s="123">
        <f t="shared" si="11"/>
        <v>4.27003411180693E-11</v>
      </c>
      <c r="G131" s="84">
        <v>655</v>
      </c>
      <c r="H131" s="118">
        <v>143</v>
      </c>
      <c r="I131" s="126">
        <f t="shared" si="14"/>
        <v>4.5804195804195809</v>
      </c>
      <c r="J131" s="118">
        <v>14258785805</v>
      </c>
      <c r="K131" s="118">
        <f t="shared" si="12"/>
        <v>7213057131051</v>
      </c>
      <c r="L131" s="130">
        <f t="shared" si="9"/>
        <v>1.9768020058538453E-3</v>
      </c>
      <c r="M131" s="119">
        <v>129982985527</v>
      </c>
      <c r="N131" s="119">
        <v>3515345289422</v>
      </c>
      <c r="O131" s="139">
        <f t="shared" si="13"/>
        <v>3.6975879984856921E-2</v>
      </c>
    </row>
    <row r="132" spans="2:15" ht="15.95" customHeight="1" x14ac:dyDescent="0.25">
      <c r="B132" s="48" t="str">
        <f>'X3'!B132</f>
        <v>LINK</v>
      </c>
      <c r="C132" s="49"/>
      <c r="D132" s="181">
        <v>763</v>
      </c>
      <c r="E132" s="118">
        <v>3728364000000</v>
      </c>
      <c r="F132" s="123">
        <f t="shared" si="11"/>
        <v>2.046474003074807E-10</v>
      </c>
      <c r="G132" s="84">
        <v>4900</v>
      </c>
      <c r="H132" s="118">
        <v>1659</v>
      </c>
      <c r="I132" s="126">
        <f t="shared" si="14"/>
        <v>2.9535864978902953</v>
      </c>
      <c r="J132" s="118">
        <v>28956000000</v>
      </c>
      <c r="K132" s="118">
        <f t="shared" si="12"/>
        <v>3728364000000</v>
      </c>
      <c r="L132" s="130">
        <f t="shared" si="9"/>
        <v>7.7664090737921514E-3</v>
      </c>
      <c r="M132" s="119">
        <v>4568443000000</v>
      </c>
      <c r="N132" s="119">
        <v>6023611000000</v>
      </c>
      <c r="O132" s="139">
        <f t="shared" si="13"/>
        <v>0.7584226471463712</v>
      </c>
    </row>
    <row r="133" spans="2:15" ht="15.95" customHeight="1" x14ac:dyDescent="0.25">
      <c r="B133" s="48" t="str">
        <f>'X3'!B133</f>
        <v>LTLS</v>
      </c>
      <c r="C133" s="49"/>
      <c r="D133" s="181">
        <v>3646</v>
      </c>
      <c r="E133" s="118">
        <v>7076493000000</v>
      </c>
      <c r="F133" s="123">
        <f t="shared" si="11"/>
        <v>5.1522696341252647E-10</v>
      </c>
      <c r="G133" s="84">
        <v>615</v>
      </c>
      <c r="H133" s="118">
        <v>1362</v>
      </c>
      <c r="I133" s="126">
        <f t="shared" si="14"/>
        <v>0.45154185022026433</v>
      </c>
      <c r="J133" s="118">
        <v>22144000000</v>
      </c>
      <c r="K133" s="118">
        <f t="shared" si="12"/>
        <v>7076493000000</v>
      </c>
      <c r="L133" s="130">
        <f t="shared" si="9"/>
        <v>3.1292336472317573E-3</v>
      </c>
      <c r="M133" s="119">
        <v>1901953000000</v>
      </c>
      <c r="N133" s="119">
        <v>6318441000000</v>
      </c>
      <c r="O133" s="139">
        <f t="shared" si="13"/>
        <v>0.30101618421379578</v>
      </c>
    </row>
    <row r="134" spans="2:15" ht="15.95" customHeight="1" x14ac:dyDescent="0.25">
      <c r="B134" s="48" t="str">
        <f>'X3'!B134</f>
        <v>MAPI</v>
      </c>
      <c r="C134" s="49"/>
      <c r="D134" s="181">
        <v>24219</v>
      </c>
      <c r="E134" s="118">
        <v>18921123000000</v>
      </c>
      <c r="F134" s="123">
        <f t="shared" si="11"/>
        <v>1.2799980212590975E-9</v>
      </c>
      <c r="G134" s="84">
        <v>805</v>
      </c>
      <c r="H134" s="118">
        <v>365</v>
      </c>
      <c r="I134" s="126">
        <f t="shared" si="14"/>
        <v>2.2054794520547945</v>
      </c>
      <c r="J134" s="118">
        <v>244612000000</v>
      </c>
      <c r="K134" s="118">
        <f t="shared" si="12"/>
        <v>18921123000000</v>
      </c>
      <c r="L134" s="130">
        <f t="shared" si="9"/>
        <v>1.292798529981545E-2</v>
      </c>
      <c r="M134" s="119">
        <v>3471259000000</v>
      </c>
      <c r="N134" s="119">
        <v>12632671000000</v>
      </c>
      <c r="O134" s="139">
        <f t="shared" si="13"/>
        <v>0.27478424792349931</v>
      </c>
    </row>
    <row r="135" spans="2:15" ht="15.95" customHeight="1" x14ac:dyDescent="0.25">
      <c r="B135" s="48" t="str">
        <f>'X3'!B135</f>
        <v>MNCN</v>
      </c>
      <c r="C135" s="49"/>
      <c r="D135" s="181">
        <v>7787</v>
      </c>
      <c r="E135" s="118">
        <v>7443905000000</v>
      </c>
      <c r="F135" s="123">
        <f t="shared" si="11"/>
        <v>1.0460907279176723E-9</v>
      </c>
      <c r="G135" s="84">
        <v>690</v>
      </c>
      <c r="H135" s="118">
        <v>707</v>
      </c>
      <c r="I135" s="126">
        <f t="shared" si="14"/>
        <v>0.9759547383309759</v>
      </c>
      <c r="J135" s="118">
        <v>299732000000</v>
      </c>
      <c r="K135" s="118">
        <f t="shared" si="12"/>
        <v>7443905000000</v>
      </c>
      <c r="L135" s="130">
        <f t="shared" si="9"/>
        <v>4.026542520357259E-2</v>
      </c>
      <c r="M135" s="119">
        <v>5541768000000</v>
      </c>
      <c r="N135" s="119">
        <v>16339552000000</v>
      </c>
      <c r="O135" s="139">
        <f t="shared" si="13"/>
        <v>0.33916278732733923</v>
      </c>
    </row>
    <row r="136" spans="2:15" ht="15.95" customHeight="1" x14ac:dyDescent="0.25">
      <c r="B136" s="48" t="str">
        <f>'X3'!B136</f>
        <v>MPMX</v>
      </c>
      <c r="C136" s="49"/>
      <c r="D136" s="181">
        <v>2419</v>
      </c>
      <c r="E136" s="118">
        <v>15893585000000</v>
      </c>
      <c r="F136" s="123">
        <f t="shared" si="11"/>
        <v>1.5219977116553629E-10</v>
      </c>
      <c r="G136" s="84">
        <v>905</v>
      </c>
      <c r="H136" s="118">
        <v>1964</v>
      </c>
      <c r="I136" s="126">
        <f t="shared" si="14"/>
        <v>0.46079429735234217</v>
      </c>
      <c r="J136" s="118">
        <v>120455000000</v>
      </c>
      <c r="K136" s="118">
        <f t="shared" si="12"/>
        <v>15893585000000</v>
      </c>
      <c r="L136" s="130">
        <f t="shared" si="9"/>
        <v>7.5788439172156568E-3</v>
      </c>
      <c r="M136" s="119">
        <v>2832408000000</v>
      </c>
      <c r="N136" s="119">
        <v>11943407000000</v>
      </c>
      <c r="O136" s="139">
        <f t="shared" si="13"/>
        <v>0.23715243062553257</v>
      </c>
    </row>
    <row r="137" spans="2:15" ht="15.95" customHeight="1" x14ac:dyDescent="0.25">
      <c r="B137" s="48" t="str">
        <f>'X3'!B137</f>
        <v>SCMA</v>
      </c>
      <c r="C137" s="49"/>
      <c r="D137" s="181">
        <v>3377</v>
      </c>
      <c r="E137" s="118">
        <v>5276794930000</v>
      </c>
      <c r="F137" s="123">
        <f t="shared" si="11"/>
        <v>6.3997180955447898E-10</v>
      </c>
      <c r="G137" s="84">
        <v>1870</v>
      </c>
      <c r="H137" s="118">
        <v>345</v>
      </c>
      <c r="I137" s="126">
        <f t="shared" si="14"/>
        <v>5.4202898550724639</v>
      </c>
      <c r="J137" s="118">
        <v>38195578000</v>
      </c>
      <c r="K137" s="118">
        <f t="shared" si="12"/>
        <v>5276794930000</v>
      </c>
      <c r="L137" s="130">
        <f t="shared" si="9"/>
        <v>7.238404847390952E-3</v>
      </c>
      <c r="M137" s="119">
        <v>1071441685000</v>
      </c>
      <c r="N137" s="119">
        <v>6589842943000</v>
      </c>
      <c r="O137" s="139">
        <f t="shared" si="13"/>
        <v>0.16258986659737151</v>
      </c>
    </row>
    <row r="138" spans="2:15" ht="15.95" customHeight="1" x14ac:dyDescent="0.25">
      <c r="B138" s="48" t="str">
        <f>'X3'!B138</f>
        <v>SDPC</v>
      </c>
      <c r="C138" s="49"/>
      <c r="D138" s="181">
        <v>1083</v>
      </c>
      <c r="E138" s="118">
        <v>2376182739151</v>
      </c>
      <c r="F138" s="123">
        <f t="shared" si="11"/>
        <v>4.5577302711446819E-10</v>
      </c>
      <c r="G138" s="84">
        <v>95</v>
      </c>
      <c r="H138" s="118">
        <v>182</v>
      </c>
      <c r="I138" s="126">
        <f t="shared" si="14"/>
        <v>0.52197802197802201</v>
      </c>
      <c r="J138" s="118">
        <v>5649447526</v>
      </c>
      <c r="K138" s="118">
        <f t="shared" si="12"/>
        <v>2376182739151</v>
      </c>
      <c r="L138" s="130">
        <f t="shared" si="9"/>
        <v>2.3775307483373622E-3</v>
      </c>
      <c r="M138" s="119">
        <v>19895955091</v>
      </c>
      <c r="N138" s="119">
        <v>1192891220453</v>
      </c>
      <c r="O138" s="139">
        <f t="shared" si="13"/>
        <v>1.6678767309096731E-2</v>
      </c>
    </row>
    <row r="139" spans="2:15" ht="15.95" customHeight="1" x14ac:dyDescent="0.25">
      <c r="B139" s="48" t="str">
        <f>'X3'!B139</f>
        <v>SILO</v>
      </c>
      <c r="C139" s="49"/>
      <c r="D139" s="181">
        <v>8855</v>
      </c>
      <c r="E139" s="118">
        <v>5964650000000</v>
      </c>
      <c r="F139" s="123">
        <f t="shared" si="11"/>
        <v>1.4845799837375202E-9</v>
      </c>
      <c r="G139" s="84">
        <v>3590</v>
      </c>
      <c r="H139" s="118">
        <v>3885</v>
      </c>
      <c r="I139" s="126">
        <f t="shared" si="14"/>
        <v>0.92406692406692403</v>
      </c>
      <c r="J139" s="118">
        <v>48953000000</v>
      </c>
      <c r="K139" s="118">
        <f t="shared" si="12"/>
        <v>5964650000000</v>
      </c>
      <c r="L139" s="130">
        <f t="shared" si="9"/>
        <v>8.2071873454435725E-3</v>
      </c>
      <c r="M139" s="119">
        <v>4080094000000</v>
      </c>
      <c r="N139" s="119">
        <v>7694942000000</v>
      </c>
      <c r="O139" s="139">
        <f t="shared" si="13"/>
        <v>0.53023063721597896</v>
      </c>
    </row>
    <row r="140" spans="2:15" ht="15.95" customHeight="1" x14ac:dyDescent="0.25">
      <c r="B140" s="48" t="str">
        <f>'X3'!B140</f>
        <v>SONA</v>
      </c>
      <c r="C140" s="49"/>
      <c r="D140" s="181">
        <v>1327</v>
      </c>
      <c r="E140" s="118">
        <v>1780328975476</v>
      </c>
      <c r="F140" s="123">
        <f t="shared" si="11"/>
        <v>7.4536786081640045E-10</v>
      </c>
      <c r="G140" s="84">
        <v>5700</v>
      </c>
      <c r="H140" s="118">
        <v>2301</v>
      </c>
      <c r="I140" s="126">
        <f t="shared" si="14"/>
        <v>2.4771838331160363</v>
      </c>
      <c r="J140" s="118">
        <v>6834255300</v>
      </c>
      <c r="K140" s="118">
        <f t="shared" si="12"/>
        <v>1780328975476</v>
      </c>
      <c r="L140" s="130">
        <f t="shared" si="9"/>
        <v>3.8387597989707214E-3</v>
      </c>
      <c r="M140" s="119">
        <v>172420105431</v>
      </c>
      <c r="N140" s="119">
        <v>1250810082430</v>
      </c>
      <c r="O140" s="139">
        <f t="shared" si="13"/>
        <v>0.13784675056027082</v>
      </c>
    </row>
    <row r="141" spans="2:15" ht="15.95" customHeight="1" x14ac:dyDescent="0.25">
      <c r="B141" s="48" t="str">
        <f>'X3'!B141</f>
        <v>TRIO</v>
      </c>
      <c r="C141" s="49"/>
      <c r="D141" s="181">
        <v>80</v>
      </c>
      <c r="E141" s="118">
        <v>1671866232277</v>
      </c>
      <c r="F141" s="123">
        <f t="shared" si="11"/>
        <v>4.7850718230634947E-11</v>
      </c>
      <c r="G141" s="84">
        <v>236</v>
      </c>
      <c r="H141" s="118">
        <v>-137</v>
      </c>
      <c r="I141" s="126">
        <f t="shared" si="14"/>
        <v>-1.7226277372262773</v>
      </c>
      <c r="J141" s="118">
        <v>2806034709</v>
      </c>
      <c r="K141" s="118">
        <f t="shared" si="12"/>
        <v>1671866232277</v>
      </c>
      <c r="L141" s="130">
        <f t="shared" si="9"/>
        <v>1.678384702571759E-3</v>
      </c>
      <c r="M141" s="119">
        <v>35686610784</v>
      </c>
      <c r="N141" s="119">
        <v>193663107384</v>
      </c>
      <c r="O141" s="139">
        <f t="shared" si="13"/>
        <v>0.18427160064740522</v>
      </c>
    </row>
    <row r="142" spans="2:15" ht="15.95" customHeight="1" x14ac:dyDescent="0.25">
      <c r="B142" s="48" t="str">
        <f>'X3'!B142</f>
        <v>UNTR</v>
      </c>
      <c r="C142" s="49"/>
      <c r="D142" s="181">
        <v>33207</v>
      </c>
      <c r="E142" s="118">
        <v>84624733000000</v>
      </c>
      <c r="F142" s="123">
        <f t="shared" si="11"/>
        <v>3.924030105950231E-10</v>
      </c>
      <c r="G142" s="84">
        <v>27350</v>
      </c>
      <c r="H142" s="118">
        <v>15294</v>
      </c>
      <c r="I142" s="126">
        <f t="shared" si="14"/>
        <v>1.7882829867922061</v>
      </c>
      <c r="J142" s="118">
        <v>67986000000</v>
      </c>
      <c r="K142" s="118">
        <f t="shared" si="12"/>
        <v>84624733000000</v>
      </c>
      <c r="L142" s="130">
        <f t="shared" si="9"/>
        <v>8.0338215070055224E-4</v>
      </c>
      <c r="M142" s="119">
        <v>24584551000000</v>
      </c>
      <c r="N142" s="119">
        <v>116281017000000</v>
      </c>
      <c r="O142" s="139">
        <f t="shared" si="13"/>
        <v>0.2114235980581422</v>
      </c>
    </row>
    <row r="143" spans="2:15" ht="15.95" customHeight="1" x14ac:dyDescent="0.25">
      <c r="B143" s="48">
        <f>'X3'!B143</f>
        <v>0</v>
      </c>
      <c r="C143" s="49"/>
      <c r="D143" s="181"/>
      <c r="E143" s="118"/>
      <c r="F143" s="123" t="e">
        <f t="shared" si="11"/>
        <v>#DIV/0!</v>
      </c>
      <c r="G143" s="84"/>
      <c r="H143" s="118"/>
      <c r="I143" s="126"/>
      <c r="J143" s="118"/>
      <c r="K143" s="118"/>
      <c r="L143" s="130"/>
      <c r="M143" s="119"/>
      <c r="N143" s="119"/>
      <c r="O143" s="139"/>
    </row>
    <row r="144" spans="2:15" ht="15.95" customHeight="1" x14ac:dyDescent="0.25">
      <c r="B144" s="48">
        <f>'X3'!B144</f>
        <v>0</v>
      </c>
      <c r="C144" s="49"/>
      <c r="D144" s="181"/>
      <c r="E144" s="118"/>
      <c r="F144" s="123" t="e">
        <f t="shared" si="11"/>
        <v>#DIV/0!</v>
      </c>
      <c r="G144" s="84"/>
      <c r="H144" s="118"/>
      <c r="I144" s="126"/>
      <c r="J144" s="118"/>
      <c r="K144" s="118"/>
      <c r="L144" s="130"/>
      <c r="M144" s="119"/>
      <c r="N144" s="119"/>
      <c r="O144" s="139"/>
    </row>
    <row r="145" spans="2:15" ht="15.95" customHeight="1" x14ac:dyDescent="0.25">
      <c r="B145" s="48">
        <f>'X3'!B145</f>
        <v>0</v>
      </c>
      <c r="C145" s="49"/>
      <c r="D145" s="181"/>
      <c r="E145" s="118"/>
      <c r="F145" s="182"/>
      <c r="G145" s="84"/>
      <c r="H145" s="118"/>
      <c r="I145" s="126"/>
      <c r="J145" s="118"/>
      <c r="K145" s="118"/>
      <c r="L145" s="130"/>
      <c r="M145" s="119"/>
      <c r="N145" s="119"/>
      <c r="O145" s="139"/>
    </row>
    <row r="146" spans="2:15" ht="15.95" customHeight="1" x14ac:dyDescent="0.25">
      <c r="B146" s="48">
        <f>'X3'!B146</f>
        <v>0</v>
      </c>
      <c r="C146" s="49"/>
      <c r="D146" s="181"/>
      <c r="E146" s="118"/>
      <c r="F146" s="182"/>
      <c r="G146" s="84"/>
      <c r="H146" s="118"/>
      <c r="I146" s="126"/>
      <c r="J146" s="118"/>
      <c r="K146" s="118"/>
      <c r="L146" s="130"/>
      <c r="M146" s="119"/>
      <c r="N146" s="119"/>
      <c r="O146" s="139"/>
    </row>
    <row r="147" spans="2:15" ht="15.95" customHeight="1" x14ac:dyDescent="0.25">
      <c r="B147" s="48">
        <f>'X3'!B147</f>
        <v>0</v>
      </c>
      <c r="C147" s="49"/>
      <c r="D147" s="181"/>
      <c r="E147" s="118"/>
      <c r="F147" s="182"/>
      <c r="G147" s="84"/>
      <c r="H147" s="118"/>
      <c r="I147" s="126"/>
      <c r="J147" s="118"/>
      <c r="K147" s="118"/>
      <c r="L147" s="130"/>
      <c r="M147" s="119"/>
      <c r="N147" s="119"/>
      <c r="O147" s="139"/>
    </row>
    <row r="148" spans="2:15" ht="15.95" customHeight="1" x14ac:dyDescent="0.25">
      <c r="B148" s="48"/>
      <c r="C148" s="49"/>
      <c r="D148" s="181"/>
      <c r="E148" s="118"/>
      <c r="F148" s="182"/>
      <c r="G148" s="84"/>
      <c r="H148" s="118"/>
      <c r="I148" s="126"/>
      <c r="J148" s="118"/>
      <c r="K148" s="118"/>
      <c r="L148" s="130"/>
      <c r="M148" s="119"/>
      <c r="N148" s="119"/>
      <c r="O148" s="139"/>
    </row>
    <row r="149" spans="2:15" ht="15.95" customHeight="1" x14ac:dyDescent="0.25">
      <c r="B149" s="48"/>
      <c r="C149" s="49"/>
      <c r="D149" s="181"/>
      <c r="E149" s="118"/>
      <c r="F149" s="182"/>
      <c r="G149" s="84"/>
      <c r="H149" s="118"/>
      <c r="I149" s="126"/>
      <c r="J149" s="118"/>
      <c r="K149" s="118"/>
      <c r="L149" s="130"/>
      <c r="M149" s="119"/>
      <c r="N149" s="119"/>
      <c r="O149" s="139"/>
    </row>
    <row r="150" spans="2:15" ht="15.95" customHeight="1" x14ac:dyDescent="0.25">
      <c r="B150" s="48"/>
      <c r="C150" s="49"/>
      <c r="D150" s="181"/>
      <c r="E150" s="118"/>
      <c r="F150" s="182"/>
      <c r="G150" s="84"/>
      <c r="H150" s="118"/>
      <c r="I150" s="126"/>
      <c r="J150" s="118"/>
      <c r="K150" s="118"/>
      <c r="L150" s="130"/>
      <c r="M150" s="119"/>
      <c r="N150" s="119"/>
      <c r="O150" s="139"/>
    </row>
    <row r="151" spans="2:15" ht="15.95" customHeight="1" x14ac:dyDescent="0.25">
      <c r="B151" s="48"/>
      <c r="C151" s="49"/>
      <c r="D151" s="181"/>
      <c r="E151" s="118"/>
      <c r="F151" s="182"/>
      <c r="G151" s="84"/>
      <c r="H151" s="118"/>
      <c r="I151" s="126"/>
      <c r="J151" s="118"/>
      <c r="K151" s="118"/>
      <c r="L151" s="130"/>
      <c r="M151" s="119"/>
      <c r="N151" s="119"/>
      <c r="O151" s="139"/>
    </row>
    <row r="152" spans="2:15" ht="15.95" customHeight="1" x14ac:dyDescent="0.25">
      <c r="B152" s="48"/>
      <c r="C152" s="49"/>
      <c r="D152" s="181"/>
      <c r="E152" s="118"/>
      <c r="F152" s="182"/>
      <c r="G152" s="84"/>
      <c r="H152" s="118"/>
      <c r="I152" s="126"/>
      <c r="J152" s="118"/>
      <c r="K152" s="118"/>
      <c r="L152" s="130"/>
      <c r="M152" s="119"/>
      <c r="N152" s="119"/>
      <c r="O152" s="139"/>
    </row>
    <row r="153" spans="2:15" ht="15.95" customHeight="1" x14ac:dyDescent="0.25">
      <c r="B153" s="48"/>
      <c r="C153" s="49"/>
      <c r="D153" s="181"/>
      <c r="E153" s="118"/>
      <c r="F153" s="182"/>
      <c r="G153" s="84"/>
      <c r="H153" s="118"/>
      <c r="I153" s="126"/>
      <c r="J153" s="118"/>
      <c r="K153" s="118"/>
      <c r="L153" s="130"/>
      <c r="M153" s="119"/>
      <c r="N153" s="119"/>
      <c r="O153" s="139"/>
    </row>
  </sheetData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1002"/>
  <sheetViews>
    <sheetView topLeftCell="A56" workbookViewId="0">
      <pane xSplit="2" topLeftCell="C1" activePane="topRight" state="frozen"/>
      <selection activeCell="A63" sqref="A63"/>
      <selection pane="topRight" activeCell="D61" sqref="D61"/>
    </sheetView>
  </sheetViews>
  <sheetFormatPr defaultColWidth="12.625" defaultRowHeight="15" customHeight="1" x14ac:dyDescent="0.25"/>
  <cols>
    <col min="1" max="1" width="7.625" style="45" customWidth="1"/>
    <col min="2" max="2" width="26.375" style="102" bestFit="1" customWidth="1"/>
    <col min="3" max="3" width="9.5" style="65" customWidth="1"/>
    <col min="4" max="4" width="19.75" style="51" bestFit="1" customWidth="1"/>
    <col min="5" max="5" width="15.875" style="88" bestFit="1" customWidth="1"/>
    <col min="6" max="6" width="10.25" style="70" customWidth="1"/>
    <col min="7" max="7" width="12.875" style="51" customWidth="1"/>
    <col min="8" max="8" width="11.5" style="85" bestFit="1" customWidth="1"/>
    <col min="9" max="9" width="18" style="51" bestFit="1" customWidth="1"/>
    <col min="10" max="10" width="19.75" style="51" bestFit="1" customWidth="1"/>
    <col min="11" max="11" width="10.375" style="93" customWidth="1"/>
    <col min="12" max="13" width="19.75" style="51" bestFit="1" customWidth="1"/>
    <col min="14" max="14" width="7.625" style="132" customWidth="1"/>
    <col min="15" max="15" width="9.25" style="35" bestFit="1" customWidth="1"/>
    <col min="16" max="24" width="7.625" style="35" customWidth="1"/>
    <col min="25" max="16384" width="12.625" style="35"/>
  </cols>
  <sheetData>
    <row r="2" spans="1:15" x14ac:dyDescent="0.25">
      <c r="A2" s="45" t="s">
        <v>41</v>
      </c>
      <c r="B2" s="102" t="s">
        <v>42</v>
      </c>
    </row>
    <row r="3" spans="1:15" x14ac:dyDescent="0.25">
      <c r="A3" s="45" t="s">
        <v>2</v>
      </c>
      <c r="B3" s="102" t="s">
        <v>43</v>
      </c>
    </row>
    <row r="4" spans="1:15" x14ac:dyDescent="0.25">
      <c r="A4" s="71"/>
    </row>
    <row r="5" spans="1:15" x14ac:dyDescent="0.25">
      <c r="A5" s="136"/>
      <c r="O5" s="45" t="s">
        <v>344</v>
      </c>
    </row>
    <row r="6" spans="1:15" x14ac:dyDescent="0.25">
      <c r="A6" s="136" t="s">
        <v>73</v>
      </c>
      <c r="O6" s="51">
        <v>14001</v>
      </c>
    </row>
    <row r="7" spans="1:15" ht="30" x14ac:dyDescent="0.25">
      <c r="A7" s="72" t="s">
        <v>5</v>
      </c>
      <c r="B7" s="73" t="s">
        <v>6</v>
      </c>
      <c r="C7" s="74" t="s">
        <v>50</v>
      </c>
      <c r="D7" s="10" t="s">
        <v>51</v>
      </c>
      <c r="E7" s="98" t="s">
        <v>45</v>
      </c>
      <c r="F7" s="75" t="s">
        <v>52</v>
      </c>
      <c r="G7" s="10" t="s">
        <v>49</v>
      </c>
      <c r="H7" s="99" t="s">
        <v>46</v>
      </c>
      <c r="I7" s="76" t="s">
        <v>53</v>
      </c>
      <c r="J7" s="77" t="s">
        <v>54</v>
      </c>
      <c r="K7" s="100" t="s">
        <v>422</v>
      </c>
      <c r="L7" s="76" t="s">
        <v>56</v>
      </c>
      <c r="M7" s="76" t="s">
        <v>55</v>
      </c>
      <c r="N7" s="101" t="s">
        <v>47</v>
      </c>
    </row>
    <row r="8" spans="1:15" x14ac:dyDescent="0.25">
      <c r="A8" s="140" t="str">
        <f>'X3 (2)'!B8</f>
        <v>AALI</v>
      </c>
      <c r="B8" s="78" t="s">
        <v>16</v>
      </c>
      <c r="C8" s="43">
        <v>38625</v>
      </c>
      <c r="D8" s="44">
        <v>17452736000000</v>
      </c>
      <c r="E8" s="89">
        <f t="shared" ref="E8:E51" si="0">C8/D8</f>
        <v>2.2131200517787009E-9</v>
      </c>
      <c r="F8" s="79">
        <v>14575</v>
      </c>
      <c r="G8" s="80">
        <v>9860</v>
      </c>
      <c r="H8" s="86">
        <f>F8/G8</f>
        <v>1.4781947261663286</v>
      </c>
      <c r="I8" s="47">
        <v>0</v>
      </c>
      <c r="J8" s="47">
        <f t="shared" ref="J8:J39" si="1">D8</f>
        <v>17452736000000</v>
      </c>
      <c r="K8" s="94">
        <f t="shared" ref="K8:K73" si="2">I8/J8</f>
        <v>0</v>
      </c>
      <c r="L8" s="47">
        <v>9841623000000</v>
      </c>
      <c r="M8" s="47">
        <v>26974124000000</v>
      </c>
      <c r="N8" s="133">
        <f>L8/M8</f>
        <v>0.36485422103049575</v>
      </c>
    </row>
    <row r="9" spans="1:15" x14ac:dyDescent="0.25">
      <c r="A9" s="140" t="str">
        <f>'X3 (2)'!B9</f>
        <v>BISI</v>
      </c>
      <c r="B9" s="78" t="s">
        <v>25</v>
      </c>
      <c r="C9" s="43">
        <v>725</v>
      </c>
      <c r="D9" s="44">
        <v>2272410000000</v>
      </c>
      <c r="E9" s="89">
        <f t="shared" si="0"/>
        <v>3.1904453861759102E-10</v>
      </c>
      <c r="F9" s="46">
        <v>1050</v>
      </c>
      <c r="G9" s="47">
        <v>772</v>
      </c>
      <c r="H9" s="86">
        <f>F9/G9</f>
        <v>1.3601036269430051</v>
      </c>
      <c r="I9" s="47">
        <v>0</v>
      </c>
      <c r="J9" s="47">
        <f t="shared" si="1"/>
        <v>2272410000000</v>
      </c>
      <c r="K9" s="94">
        <f t="shared" si="2"/>
        <v>0</v>
      </c>
      <c r="L9" s="47">
        <v>480957000000</v>
      </c>
      <c r="M9" s="47">
        <v>2941056000000</v>
      </c>
      <c r="N9" s="133">
        <f>L9/M9</f>
        <v>0.1635320782739261</v>
      </c>
    </row>
    <row r="10" spans="1:15" ht="30" x14ac:dyDescent="0.25">
      <c r="A10" s="140" t="str">
        <f>'X3 (2)'!B10</f>
        <v>UNSP</v>
      </c>
      <c r="B10" s="78" t="s">
        <v>28</v>
      </c>
      <c r="C10" s="43">
        <v>7956</v>
      </c>
      <c r="D10" s="44">
        <v>1984017000000</v>
      </c>
      <c r="E10" s="89">
        <f t="shared" si="0"/>
        <v>4.0100462848856639E-9</v>
      </c>
      <c r="F10" s="46">
        <v>101</v>
      </c>
      <c r="G10" s="47">
        <v>-2178</v>
      </c>
      <c r="H10" s="86">
        <f>F10/G10</f>
        <v>-4.6372819100091826E-2</v>
      </c>
      <c r="I10" s="47">
        <v>0</v>
      </c>
      <c r="J10" s="47">
        <f t="shared" si="1"/>
        <v>1984017000000</v>
      </c>
      <c r="K10" s="94">
        <f t="shared" si="2"/>
        <v>0</v>
      </c>
      <c r="L10" s="47">
        <v>6244765000000</v>
      </c>
      <c r="M10" s="47">
        <v>8399862000000</v>
      </c>
      <c r="N10" s="133">
        <f>L10/M10</f>
        <v>0.74343661836349217</v>
      </c>
    </row>
    <row r="11" spans="1:15" x14ac:dyDescent="0.25">
      <c r="A11" s="140" t="str">
        <f>'X3 (2)'!B11</f>
        <v>BWPT</v>
      </c>
      <c r="B11" s="49" t="s">
        <v>58</v>
      </c>
      <c r="C11" s="43">
        <v>1049</v>
      </c>
      <c r="D11" s="44">
        <v>2512784000000</v>
      </c>
      <c r="E11" s="89">
        <f t="shared" si="0"/>
        <v>4.1746524969913848E-10</v>
      </c>
      <c r="F11" s="46">
        <v>157</v>
      </c>
      <c r="G11" s="47">
        <v>146</v>
      </c>
      <c r="H11" s="86">
        <f>F11/G11</f>
        <v>1.0753424657534247</v>
      </c>
      <c r="I11" s="47">
        <v>0</v>
      </c>
      <c r="J11" s="47">
        <f t="shared" si="1"/>
        <v>2512784000000</v>
      </c>
      <c r="K11" s="94">
        <f t="shared" si="2"/>
        <v>0</v>
      </c>
      <c r="L11" s="47">
        <v>14851812000000</v>
      </c>
      <c r="M11" s="47">
        <v>15991148000000</v>
      </c>
      <c r="N11" s="133">
        <f>L11/M11</f>
        <v>0.92875208208941595</v>
      </c>
    </row>
    <row r="12" spans="1:15" x14ac:dyDescent="0.25">
      <c r="A12" s="140" t="str">
        <f>'X3 (2)'!B12</f>
        <v>DSNG</v>
      </c>
      <c r="B12" s="42" t="s">
        <v>75</v>
      </c>
      <c r="C12" s="43">
        <v>18221</v>
      </c>
      <c r="D12" s="44">
        <v>5736684000000</v>
      </c>
      <c r="E12" s="89">
        <f t="shared" si="0"/>
        <v>3.1762251502784534E-9</v>
      </c>
      <c r="F12" s="137">
        <v>460</v>
      </c>
      <c r="G12" s="47">
        <v>352</v>
      </c>
      <c r="H12" s="86">
        <f t="shared" ref="H12:H17" si="3">F12/G12</f>
        <v>1.3068181818181819</v>
      </c>
      <c r="I12" s="47">
        <v>0</v>
      </c>
      <c r="J12" s="47">
        <f t="shared" si="1"/>
        <v>5736684000000</v>
      </c>
      <c r="K12" s="94">
        <f t="shared" si="2"/>
        <v>0</v>
      </c>
      <c r="L12" s="47">
        <v>3151121000000</v>
      </c>
      <c r="M12" s="47">
        <v>11620821000000</v>
      </c>
      <c r="N12" s="133">
        <f>L12/M12</f>
        <v>0.27116165028271239</v>
      </c>
    </row>
    <row r="13" spans="1:15" ht="30" x14ac:dyDescent="0.25">
      <c r="A13" s="140" t="str">
        <f>'X3 (2)'!B13</f>
        <v>LSIP</v>
      </c>
      <c r="B13" s="42" t="str">
        <f>'X3'!C13</f>
        <v>PT PP LONDON SUMATERA INDONESIA</v>
      </c>
      <c r="C13" s="43">
        <v>15278</v>
      </c>
      <c r="D13" s="44">
        <v>3699439000000</v>
      </c>
      <c r="E13" s="89">
        <f t="shared" si="0"/>
        <v>4.1298153584908414E-9</v>
      </c>
      <c r="F13" s="46">
        <v>1485</v>
      </c>
      <c r="G13" s="47">
        <v>1245</v>
      </c>
      <c r="H13" s="86">
        <f t="shared" si="3"/>
        <v>1.1927710843373494</v>
      </c>
      <c r="I13" s="47">
        <v>0</v>
      </c>
      <c r="J13" s="47">
        <f t="shared" si="1"/>
        <v>3699439000000</v>
      </c>
      <c r="K13" s="94">
        <f t="shared" si="2"/>
        <v>0</v>
      </c>
      <c r="L13" s="47">
        <v>6311102000000</v>
      </c>
      <c r="M13" s="47">
        <v>10225322000000</v>
      </c>
      <c r="N13" s="133">
        <f t="shared" ref="N13:N76" si="4">L13/M13</f>
        <v>0.61720325286577771</v>
      </c>
    </row>
    <row r="14" spans="1:15" x14ac:dyDescent="0.25">
      <c r="A14" s="140" t="str">
        <f>'X3 (2)'!B14</f>
        <v>SGRO</v>
      </c>
      <c r="B14" s="42" t="str">
        <f>'X3'!C14</f>
        <v>SAMPOERNA AGRO TBK</v>
      </c>
      <c r="C14" s="43">
        <v>8600</v>
      </c>
      <c r="D14" s="44">
        <v>3268127326000</v>
      </c>
      <c r="E14" s="89">
        <f t="shared" si="0"/>
        <v>2.6314764212463857E-9</v>
      </c>
      <c r="F14" s="46">
        <v>2380</v>
      </c>
      <c r="G14" s="47">
        <v>2197</v>
      </c>
      <c r="H14" s="86">
        <f t="shared" si="3"/>
        <v>1.0832954028220301</v>
      </c>
      <c r="I14" s="47">
        <v>0</v>
      </c>
      <c r="J14" s="47">
        <f t="shared" si="1"/>
        <v>3268127326000</v>
      </c>
      <c r="K14" s="94">
        <f t="shared" si="2"/>
        <v>0</v>
      </c>
      <c r="L14" s="47">
        <v>2172057481000</v>
      </c>
      <c r="M14" s="47">
        <v>9466942773000</v>
      </c>
      <c r="N14" s="133">
        <f t="shared" si="4"/>
        <v>0.22943599988739469</v>
      </c>
    </row>
    <row r="15" spans="1:15" x14ac:dyDescent="0.25">
      <c r="A15" s="140" t="str">
        <f>'X3 (2)'!B15</f>
        <v>SIMP</v>
      </c>
      <c r="B15" s="42" t="str">
        <f>'X3'!C15</f>
        <v>SALIM IVOMAS PRATAMA Tbk</v>
      </c>
      <c r="C15" s="43">
        <v>37264</v>
      </c>
      <c r="D15" s="44">
        <v>13650388000000</v>
      </c>
      <c r="E15" s="89">
        <f t="shared" si="0"/>
        <v>2.7298857732102561E-9</v>
      </c>
      <c r="F15" s="46">
        <v>432</v>
      </c>
      <c r="G15" s="47">
        <v>1124</v>
      </c>
      <c r="H15" s="86">
        <f t="shared" si="3"/>
        <v>0.38434163701067614</v>
      </c>
      <c r="I15" s="47">
        <v>99916000000</v>
      </c>
      <c r="J15" s="47">
        <f t="shared" si="1"/>
        <v>13650388000000</v>
      </c>
      <c r="K15" s="94">
        <f t="shared" si="2"/>
        <v>7.3196454196027246E-3</v>
      </c>
      <c r="L15" s="47">
        <f>20342294000000</f>
        <v>20342294000000</v>
      </c>
      <c r="M15" s="47">
        <v>34910838000000</v>
      </c>
      <c r="N15" s="133">
        <f t="shared" si="4"/>
        <v>0.58269280158786219</v>
      </c>
    </row>
    <row r="16" spans="1:15" ht="15" customHeight="1" x14ac:dyDescent="0.25">
      <c r="A16" s="140" t="str">
        <f>'X3 (2)'!B16</f>
        <v>SSMS</v>
      </c>
      <c r="B16" s="42" t="str">
        <f>'X3'!C16</f>
        <v>SAWIT SUMBERMAS SARANA</v>
      </c>
      <c r="C16" s="43">
        <v>6762</v>
      </c>
      <c r="D16" s="44">
        <v>3277806795000</v>
      </c>
      <c r="E16" s="89">
        <f t="shared" si="0"/>
        <v>2.0629647880146029E-9</v>
      </c>
      <c r="F16" s="46">
        <v>845</v>
      </c>
      <c r="G16" s="47">
        <v>427</v>
      </c>
      <c r="H16" s="86">
        <f t="shared" si="3"/>
        <v>1.9789227166276346</v>
      </c>
      <c r="I16" s="47">
        <v>0</v>
      </c>
      <c r="J16" s="47">
        <f t="shared" si="1"/>
        <v>3277806795000</v>
      </c>
      <c r="K16" s="94">
        <f t="shared" si="2"/>
        <v>0</v>
      </c>
      <c r="L16" s="47">
        <v>4642393712000</v>
      </c>
      <c r="M16" s="47">
        <v>11845204657000</v>
      </c>
      <c r="N16" s="133">
        <f t="shared" si="4"/>
        <v>0.39192178155035484</v>
      </c>
    </row>
    <row r="17" spans="1:14" x14ac:dyDescent="0.25">
      <c r="A17" s="142" t="str">
        <f>'X3 (2)'!B17</f>
        <v>BUDI</v>
      </c>
      <c r="B17" s="42" t="str">
        <f>'X3'!C17</f>
        <v>BUDI STARCH &amp; SWEETENER</v>
      </c>
      <c r="C17" s="43">
        <v>1693</v>
      </c>
      <c r="D17" s="44">
        <v>3003768000000</v>
      </c>
      <c r="E17" s="89">
        <f t="shared" si="0"/>
        <v>5.6362541980605697E-10</v>
      </c>
      <c r="F17" s="46">
        <v>103</v>
      </c>
      <c r="G17" s="47">
        <v>285</v>
      </c>
      <c r="H17" s="86">
        <f t="shared" si="3"/>
        <v>0.36140350877192984</v>
      </c>
      <c r="I17" s="47">
        <v>2011000000</v>
      </c>
      <c r="J17" s="47">
        <f t="shared" si="1"/>
        <v>3003768000000</v>
      </c>
      <c r="K17" s="94">
        <f t="shared" si="2"/>
        <v>6.6949245081510957E-4</v>
      </c>
      <c r="L17" s="47">
        <v>1808968000000</v>
      </c>
      <c r="M17" s="47">
        <v>2999767000000</v>
      </c>
      <c r="N17" s="133">
        <f t="shared" si="4"/>
        <v>0.60303616914247005</v>
      </c>
    </row>
    <row r="18" spans="1:14" x14ac:dyDescent="0.25">
      <c r="A18" s="142" t="str">
        <f>'X3 (2)'!B18</f>
        <v>CEKA</v>
      </c>
      <c r="B18" s="42" t="str">
        <f>'X3'!C18</f>
        <v>WILMAR CAHAYA INDONESIA</v>
      </c>
      <c r="C18" s="43">
        <v>387</v>
      </c>
      <c r="D18" s="44">
        <v>3120937098980</v>
      </c>
      <c r="E18" s="89">
        <f t="shared" si="0"/>
        <v>1.2400121749537382E-10</v>
      </c>
      <c r="F18" s="46">
        <v>1670</v>
      </c>
      <c r="G18" s="47">
        <v>1901</v>
      </c>
      <c r="H18" s="86">
        <f t="shared" ref="H18:H99" si="5">F18/G18</f>
        <v>0.87848500789058392</v>
      </c>
      <c r="I18" s="47">
        <v>0</v>
      </c>
      <c r="J18" s="47">
        <f t="shared" si="1"/>
        <v>3120937098980</v>
      </c>
      <c r="K18" s="94">
        <f>I18/J18</f>
        <v>0</v>
      </c>
      <c r="L18" s="47">
        <v>195283411192</v>
      </c>
      <c r="M18" s="47">
        <v>1393079542074</v>
      </c>
      <c r="N18" s="133">
        <f t="shared" si="4"/>
        <v>0.14018109181422936</v>
      </c>
    </row>
    <row r="19" spans="1:14" ht="15" customHeight="1" x14ac:dyDescent="0.25">
      <c r="A19" s="142" t="str">
        <f>'X3 (2)'!B19</f>
        <v>DVLA</v>
      </c>
      <c r="B19" s="42" t="str">
        <f>'X3'!C19</f>
        <v>DARYA VARIA LABORATORIA</v>
      </c>
      <c r="C19" s="43">
        <v>1252</v>
      </c>
      <c r="D19" s="44">
        <v>1813020278000</v>
      </c>
      <c r="E19" s="89">
        <f t="shared" si="0"/>
        <v>6.9056039537578737E-10</v>
      </c>
      <c r="F19" s="46">
        <v>2250</v>
      </c>
      <c r="G19" s="47">
        <v>1166</v>
      </c>
      <c r="H19" s="86">
        <f t="shared" si="5"/>
        <v>1.9296740994854202</v>
      </c>
      <c r="I19" s="47">
        <v>233741159000</v>
      </c>
      <c r="J19" s="47">
        <f t="shared" si="1"/>
        <v>1813020278000</v>
      </c>
      <c r="K19" s="94">
        <f t="shared" si="2"/>
        <v>0.12892363192862202</v>
      </c>
      <c r="L19" s="47">
        <v>392923654000</v>
      </c>
      <c r="M19" s="47">
        <v>1829960714000</v>
      </c>
      <c r="N19" s="133">
        <f t="shared" si="4"/>
        <v>0.21471698872766073</v>
      </c>
    </row>
    <row r="20" spans="1:14" ht="15.75" customHeight="1" x14ac:dyDescent="0.25">
      <c r="A20" s="143" t="str">
        <f>'X3'!B20</f>
        <v>GGRM</v>
      </c>
      <c r="B20" s="42" t="str">
        <f>'X3'!C20</f>
        <v>PT GUDANG GARAM</v>
      </c>
      <c r="C20" s="43">
        <v>32491</v>
      </c>
      <c r="D20" s="44">
        <v>110523819000000</v>
      </c>
      <c r="E20" s="89">
        <f t="shared" si="0"/>
        <v>2.9397283132245005E-10</v>
      </c>
      <c r="F20" s="46">
        <v>53000</v>
      </c>
      <c r="G20" s="47">
        <v>24621</v>
      </c>
      <c r="H20" s="86">
        <f t="shared" si="5"/>
        <v>2.1526339303846309</v>
      </c>
      <c r="I20" s="47">
        <v>264982000000</v>
      </c>
      <c r="J20" s="47">
        <f t="shared" si="1"/>
        <v>110523819000000</v>
      </c>
      <c r="K20" s="94">
        <f t="shared" si="2"/>
        <v>2.3975103502350023E-3</v>
      </c>
      <c r="L20" s="47">
        <v>25373983000000</v>
      </c>
      <c r="M20" s="47">
        <v>78647274000000</v>
      </c>
      <c r="N20" s="133">
        <f t="shared" si="4"/>
        <v>0.32263016515995202</v>
      </c>
    </row>
    <row r="21" spans="1:14" ht="30" x14ac:dyDescent="0.25">
      <c r="A21" s="143" t="str">
        <f>'X3'!B21</f>
        <v>HMSP</v>
      </c>
      <c r="B21" s="42" t="str">
        <f>'X3'!C21</f>
        <v>PT HANJAYA MANDALA SAMPOERNA</v>
      </c>
      <c r="C21" s="43">
        <v>23423</v>
      </c>
      <c r="D21" s="44">
        <v>106055176000000</v>
      </c>
      <c r="E21" s="89">
        <f t="shared" si="0"/>
        <v>2.2085673593149288E-10</v>
      </c>
      <c r="F21" s="46">
        <v>2100</v>
      </c>
      <c r="G21" s="47">
        <v>306</v>
      </c>
      <c r="H21" s="86">
        <f t="shared" si="5"/>
        <v>6.8627450980392153</v>
      </c>
      <c r="I21" s="47">
        <v>2564203000000</v>
      </c>
      <c r="J21" s="47">
        <f t="shared" si="1"/>
        <v>106055176000000</v>
      </c>
      <c r="K21" s="94">
        <f t="shared" si="2"/>
        <v>2.4178009001654007E-2</v>
      </c>
      <c r="L21" s="47">
        <v>7297912000000</v>
      </c>
      <c r="M21" s="47">
        <v>50902806000000</v>
      </c>
      <c r="N21" s="133">
        <f t="shared" si="4"/>
        <v>0.1433695423391787</v>
      </c>
    </row>
    <row r="22" spans="1:14" ht="30" x14ac:dyDescent="0.25">
      <c r="A22" s="143" t="str">
        <f>'X3'!B22</f>
        <v>ICBP</v>
      </c>
      <c r="B22" s="42" t="str">
        <f>'X3'!C22</f>
        <v>INDOFOOD CBP SUKSES MAKMUR</v>
      </c>
      <c r="C22" s="43">
        <v>30045</v>
      </c>
      <c r="D22" s="44">
        <v>42296703000000</v>
      </c>
      <c r="E22" s="89">
        <f t="shared" si="0"/>
        <v>7.1033905408655611E-10</v>
      </c>
      <c r="F22" s="46">
        <v>11150</v>
      </c>
      <c r="G22" s="47">
        <v>2287</v>
      </c>
      <c r="H22" s="86">
        <f t="shared" si="5"/>
        <v>4.8753825972890246</v>
      </c>
      <c r="I22" s="47">
        <v>1543623000000</v>
      </c>
      <c r="J22" s="47">
        <f t="shared" si="1"/>
        <v>42296703000000</v>
      </c>
      <c r="K22" s="94">
        <f t="shared" si="2"/>
        <v>3.6495114051797374E-2</v>
      </c>
      <c r="L22" s="111">
        <v>11324412000000</v>
      </c>
      <c r="M22" s="111">
        <v>38709314000000</v>
      </c>
      <c r="N22" s="133">
        <f t="shared" si="4"/>
        <v>0.29255005655744765</v>
      </c>
    </row>
    <row r="23" spans="1:14" x14ac:dyDescent="0.25">
      <c r="A23" s="143" t="str">
        <f>'X3'!B23</f>
        <v>INDF</v>
      </c>
      <c r="B23" s="42" t="str">
        <f>'X3'!C23</f>
        <v>PT INDOFOOD SUKSES MAKMUR</v>
      </c>
      <c r="C23" s="43">
        <v>88704</v>
      </c>
      <c r="D23" s="44">
        <v>76592955000000</v>
      </c>
      <c r="E23" s="89">
        <f t="shared" si="0"/>
        <v>1.1581221797748891E-9</v>
      </c>
      <c r="F23" s="46">
        <v>7925</v>
      </c>
      <c r="G23" s="47">
        <v>6173</v>
      </c>
      <c r="H23" s="86">
        <f t="shared" si="5"/>
        <v>1.2838166207678601</v>
      </c>
      <c r="I23" s="47">
        <v>1697366000000</v>
      </c>
      <c r="J23" s="47">
        <f t="shared" si="1"/>
        <v>76592955000000</v>
      </c>
      <c r="K23" s="94">
        <f t="shared" si="2"/>
        <v>2.2160863228217267E-2</v>
      </c>
      <c r="L23" s="47">
        <v>43072504000000</v>
      </c>
      <c r="M23" s="47">
        <v>96198559000000</v>
      </c>
      <c r="N23" s="133">
        <f t="shared" si="4"/>
        <v>0.44774583369798709</v>
      </c>
    </row>
    <row r="24" spans="1:14" ht="15.75" customHeight="1" x14ac:dyDescent="0.25">
      <c r="A24" s="143" t="str">
        <f>'X3'!B24</f>
        <v>KICI</v>
      </c>
      <c r="B24" s="42" t="str">
        <f>'X3'!C24</f>
        <v>PT KEDAUNG INDAH CAN</v>
      </c>
      <c r="C24" s="43">
        <v>656</v>
      </c>
      <c r="D24" s="44">
        <v>91061314601</v>
      </c>
      <c r="E24" s="89">
        <f t="shared" si="0"/>
        <v>7.2039372907625037E-9</v>
      </c>
      <c r="F24" s="46">
        <v>202</v>
      </c>
      <c r="G24" s="47">
        <v>316</v>
      </c>
      <c r="H24" s="86">
        <f t="shared" si="5"/>
        <v>0.63924050632911389</v>
      </c>
      <c r="I24" s="47">
        <v>0</v>
      </c>
      <c r="J24" s="47">
        <f t="shared" si="1"/>
        <v>91061314601</v>
      </c>
      <c r="K24" s="94">
        <f>I24/J24</f>
        <v>0</v>
      </c>
      <c r="L24" s="47">
        <v>40242188749</v>
      </c>
      <c r="M24" s="47">
        <v>152818996760</v>
      </c>
      <c r="N24" s="133">
        <f t="shared" si="4"/>
        <v>0.26333237098918905</v>
      </c>
    </row>
    <row r="25" spans="1:14" ht="15.75" customHeight="1" x14ac:dyDescent="0.25">
      <c r="A25" s="143" t="str">
        <f>'X3'!B25</f>
        <v>KLBF</v>
      </c>
      <c r="B25" s="42" t="str">
        <f>'X3'!C25</f>
        <v>PT KALBE FARMA</v>
      </c>
      <c r="C25" s="43">
        <v>12427</v>
      </c>
      <c r="D25" s="44">
        <v>22633476361038</v>
      </c>
      <c r="E25" s="89">
        <f t="shared" si="0"/>
        <v>5.4905396774983452E-10</v>
      </c>
      <c r="F25" s="46">
        <v>1620</v>
      </c>
      <c r="G25" s="47">
        <v>356</v>
      </c>
      <c r="H25" s="86">
        <f t="shared" si="5"/>
        <v>4.5505617977528088</v>
      </c>
      <c r="I25" s="47">
        <v>10975896533</v>
      </c>
      <c r="J25" s="47">
        <f t="shared" si="1"/>
        <v>22633476361038</v>
      </c>
      <c r="K25" s="94">
        <f t="shared" si="2"/>
        <v>4.84940817659556E-4</v>
      </c>
      <c r="L25" s="47">
        <v>7666314692908</v>
      </c>
      <c r="M25" s="47">
        <v>20264726862584</v>
      </c>
      <c r="N25" s="133">
        <f t="shared" si="4"/>
        <v>0.37830831596663578</v>
      </c>
    </row>
    <row r="26" spans="1:14" ht="15.75" customHeight="1" x14ac:dyDescent="0.25">
      <c r="A26" s="143" t="str">
        <f>'X3'!B26</f>
        <v>MBTO</v>
      </c>
      <c r="B26" s="42" t="str">
        <f>'X3'!C26</f>
        <v>PT MARTINA BERTO</v>
      </c>
      <c r="C26" s="43">
        <v>576</v>
      </c>
      <c r="D26" s="44">
        <v>537567605097</v>
      </c>
      <c r="E26" s="89">
        <f t="shared" si="0"/>
        <v>1.0714931378650786E-9</v>
      </c>
      <c r="F26" s="46">
        <v>94</v>
      </c>
      <c r="G26" s="47">
        <v>219</v>
      </c>
      <c r="H26" s="86">
        <f t="shared" si="5"/>
        <v>0.42922374429223742</v>
      </c>
      <c r="I26" s="47">
        <v>63231717523</v>
      </c>
      <c r="J26" s="47">
        <f t="shared" si="1"/>
        <v>537567605097</v>
      </c>
      <c r="K26" s="94">
        <f t="shared" si="2"/>
        <v>0.11762561010645409</v>
      </c>
      <c r="L26" s="47">
        <v>131463966244</v>
      </c>
      <c r="M26" s="47">
        <v>591063928037</v>
      </c>
      <c r="N26" s="133">
        <f t="shared" si="4"/>
        <v>0.22241920037416069</v>
      </c>
    </row>
    <row r="27" spans="1:14" ht="15.75" customHeight="1" x14ac:dyDescent="0.25">
      <c r="A27" s="143" t="str">
        <f>'X3'!B27</f>
        <v>KINO</v>
      </c>
      <c r="B27" s="42" t="str">
        <f>'X3'!C27</f>
        <v>PT KINO INDONESIA</v>
      </c>
      <c r="C27" s="43">
        <v>7742</v>
      </c>
      <c r="D27" s="44">
        <f>467886863882</f>
        <v>467886863882</v>
      </c>
      <c r="E27" s="89">
        <f t="shared" si="0"/>
        <v>1.654673511405209E-8</v>
      </c>
      <c r="F27" s="46">
        <v>3430</v>
      </c>
      <c r="G27" s="47">
        <v>1892</v>
      </c>
      <c r="H27" s="86">
        <f t="shared" si="5"/>
        <v>1.8128964059196617</v>
      </c>
      <c r="I27" s="47">
        <v>902940923418</v>
      </c>
      <c r="J27" s="47">
        <f t="shared" si="1"/>
        <v>467886863882</v>
      </c>
      <c r="K27" s="94">
        <f t="shared" si="2"/>
        <v>1.9298274713814569</v>
      </c>
      <c r="L27" s="47">
        <v>2159772086658</v>
      </c>
      <c r="M27" s="47">
        <v>4695764958883</v>
      </c>
      <c r="N27" s="133">
        <f t="shared" si="4"/>
        <v>0.45994041558071369</v>
      </c>
    </row>
    <row r="28" spans="1:14" x14ac:dyDescent="0.25">
      <c r="A28" s="143" t="str">
        <f>'X3'!B28</f>
        <v>MLBI</v>
      </c>
      <c r="B28" s="42" t="str">
        <f>'X3'!C28</f>
        <v>PT MULTI BINTANG INDONESIA</v>
      </c>
      <c r="C28" s="43">
        <v>468</v>
      </c>
      <c r="D28" s="44">
        <v>3711405000000</v>
      </c>
      <c r="E28" s="89">
        <f t="shared" si="0"/>
        <v>1.2609779854260044E-10</v>
      </c>
      <c r="F28" s="46">
        <v>15500</v>
      </c>
      <c r="G28" s="47">
        <v>543</v>
      </c>
      <c r="H28" s="86">
        <f t="shared" si="5"/>
        <v>28.545119705340699</v>
      </c>
      <c r="I28" s="47">
        <v>237384000000</v>
      </c>
      <c r="J28" s="47">
        <f t="shared" si="1"/>
        <v>3711405000000</v>
      </c>
      <c r="K28" s="95">
        <f t="shared" si="2"/>
        <v>6.39606833530698E-2</v>
      </c>
      <c r="L28" s="47">
        <v>1397212000000</v>
      </c>
      <c r="M28" s="47">
        <v>2067677000000</v>
      </c>
      <c r="N28" s="133">
        <f t="shared" si="4"/>
        <v>0.67573997292613885</v>
      </c>
    </row>
    <row r="29" spans="1:14" ht="15.75" customHeight="1" x14ac:dyDescent="0.25">
      <c r="A29" s="143" t="str">
        <f>'X3'!B29</f>
        <v>MRAT</v>
      </c>
      <c r="B29" s="42" t="str">
        <f>'X3'!C29</f>
        <v>PT MUSTIKA RATU</v>
      </c>
      <c r="C29" s="43">
        <v>1684</v>
      </c>
      <c r="D29" s="44">
        <v>305224577860</v>
      </c>
      <c r="E29" s="89">
        <f t="shared" si="0"/>
        <v>5.5172490099156264E-9</v>
      </c>
      <c r="F29" s="46">
        <v>153</v>
      </c>
      <c r="G29" s="47">
        <v>861</v>
      </c>
      <c r="H29" s="86">
        <f t="shared" si="5"/>
        <v>0.17770034843205576</v>
      </c>
      <c r="I29" s="47">
        <v>51662190290</v>
      </c>
      <c r="J29" s="47">
        <f t="shared" si="1"/>
        <v>305224577860</v>
      </c>
      <c r="K29" s="95">
        <f t="shared" si="2"/>
        <v>0.16925960108525842</v>
      </c>
      <c r="L29" s="47">
        <v>54872479523</v>
      </c>
      <c r="M29" s="47">
        <v>532762947995</v>
      </c>
      <c r="N29" s="133">
        <f t="shared" si="4"/>
        <v>0.1029960505502627</v>
      </c>
    </row>
    <row r="30" spans="1:14" ht="15.75" customHeight="1" x14ac:dyDescent="0.25">
      <c r="A30" s="143" t="str">
        <f>'X3'!B30</f>
        <v>MYOR</v>
      </c>
      <c r="B30" s="42" t="str">
        <f>'X3'!C30</f>
        <v>PT MAYORA INDAH</v>
      </c>
      <c r="C30" s="43">
        <v>9056</v>
      </c>
      <c r="D30" s="44">
        <v>25026739472547</v>
      </c>
      <c r="E30" s="89">
        <f t="shared" si="0"/>
        <v>3.6185296969802835E-10</v>
      </c>
      <c r="F30" s="46">
        <v>2050</v>
      </c>
      <c r="G30" s="47">
        <v>442</v>
      </c>
      <c r="H30" s="86">
        <f t="shared" si="5"/>
        <v>4.6380090497737561</v>
      </c>
      <c r="I30" s="47">
        <v>3393230779946</v>
      </c>
      <c r="J30" s="47">
        <f t="shared" si="1"/>
        <v>25026739472547</v>
      </c>
      <c r="K30" s="95">
        <f t="shared" si="2"/>
        <v>0.13558421318399042</v>
      </c>
      <c r="L30" s="47">
        <v>4674963819225</v>
      </c>
      <c r="M30" s="47">
        <v>19037918806473</v>
      </c>
      <c r="N30" s="133">
        <f t="shared" si="4"/>
        <v>0.24556065538190477</v>
      </c>
    </row>
    <row r="31" spans="1:14" ht="30" x14ac:dyDescent="0.25">
      <c r="A31" s="143" t="str">
        <f>'X3'!B31</f>
        <v>RMBA</v>
      </c>
      <c r="B31" s="42" t="str">
        <f>'X3'!C31</f>
        <v>PT BENTOEL INTERNASIONAL INVESTAMA</v>
      </c>
      <c r="C31" s="43">
        <v>3789</v>
      </c>
      <c r="D31" s="44">
        <v>20834699000000</v>
      </c>
      <c r="E31" s="89">
        <f t="shared" si="0"/>
        <v>1.8186007870812051E-10</v>
      </c>
      <c r="F31" s="46">
        <v>330</v>
      </c>
      <c r="G31" s="47">
        <v>230</v>
      </c>
      <c r="H31" s="86">
        <f t="shared" si="5"/>
        <v>1.4347826086956521</v>
      </c>
      <c r="I31" s="47">
        <v>1142772000000</v>
      </c>
      <c r="J31" s="47">
        <f t="shared" si="1"/>
        <v>20834699000000</v>
      </c>
      <c r="K31" s="95">
        <f t="shared" si="2"/>
        <v>5.484946050816477E-2</v>
      </c>
      <c r="L31" s="47">
        <v>5207023000000</v>
      </c>
      <c r="M31" s="47">
        <v>17000330000000</v>
      </c>
      <c r="N31" s="133">
        <f t="shared" si="4"/>
        <v>0.30628952496804474</v>
      </c>
    </row>
    <row r="32" spans="1:14" ht="30" x14ac:dyDescent="0.25">
      <c r="A32" s="143" t="str">
        <f>'X3'!B32</f>
        <v>ROTI</v>
      </c>
      <c r="B32" s="42" t="str">
        <f>'X3'!C32</f>
        <v>PT NIPPON INDOSARI CORPINDO</v>
      </c>
      <c r="C32" s="43">
        <v>3591</v>
      </c>
      <c r="D32" s="44">
        <v>3337022314624</v>
      </c>
      <c r="E32" s="89">
        <f t="shared" si="0"/>
        <v>1.076109076125437E-9</v>
      </c>
      <c r="F32" s="46">
        <v>1300</v>
      </c>
      <c r="G32" s="47">
        <v>499</v>
      </c>
      <c r="H32" s="86">
        <f t="shared" si="5"/>
        <v>2.6052104208416833</v>
      </c>
      <c r="I32" s="47">
        <v>273420126096</v>
      </c>
      <c r="J32" s="47">
        <f t="shared" si="1"/>
        <v>3337022314624</v>
      </c>
      <c r="K32" s="95">
        <f t="shared" si="2"/>
        <v>8.193536042530411E-2</v>
      </c>
      <c r="L32" s="47">
        <v>2540413874692</v>
      </c>
      <c r="M32" s="47">
        <v>4682083844951</v>
      </c>
      <c r="N32" s="133">
        <f t="shared" si="4"/>
        <v>0.54258188422479792</v>
      </c>
    </row>
    <row r="33" spans="1:14" ht="30" x14ac:dyDescent="0.25">
      <c r="A33" s="143" t="str">
        <f>'X3'!B33</f>
        <v>SIDO</v>
      </c>
      <c r="B33" s="42" t="str">
        <f>'X3'!C33</f>
        <v>PT INDUSTRI JAMU DAN FARMASI SIDO MUNCUL</v>
      </c>
      <c r="C33" s="43">
        <v>3164</v>
      </c>
      <c r="D33" s="44">
        <v>3067434000000</v>
      </c>
      <c r="E33" s="89">
        <f t="shared" si="0"/>
        <v>1.0314810359407895E-9</v>
      </c>
      <c r="F33" s="46">
        <v>638</v>
      </c>
      <c r="G33" s="47">
        <v>102</v>
      </c>
      <c r="H33" s="86">
        <f t="shared" si="5"/>
        <v>6.2549019607843137</v>
      </c>
      <c r="I33" s="47">
        <v>357109000000</v>
      </c>
      <c r="J33" s="47">
        <f t="shared" si="1"/>
        <v>3067434000000</v>
      </c>
      <c r="K33" s="95">
        <f t="shared" si="2"/>
        <v>0.11641945678374824</v>
      </c>
      <c r="L33" s="47">
        <v>1593059000000</v>
      </c>
      <c r="M33" s="47">
        <v>3536898000000</v>
      </c>
      <c r="N33" s="133">
        <f t="shared" si="4"/>
        <v>0.45041134915397618</v>
      </c>
    </row>
    <row r="34" spans="1:14" ht="15.75" customHeight="1" x14ac:dyDescent="0.25">
      <c r="A34" s="143" t="str">
        <f>'X3'!B34</f>
        <v>TBLA</v>
      </c>
      <c r="B34" s="42" t="str">
        <f>'X3'!C34</f>
        <v>PT TUNAS BARU LAMPUNG</v>
      </c>
      <c r="C34" s="43">
        <v>3466</v>
      </c>
      <c r="D34" s="44">
        <v>8533183000000</v>
      </c>
      <c r="E34" s="89">
        <f t="shared" si="0"/>
        <v>4.06179030732143E-10</v>
      </c>
      <c r="F34" s="46">
        <v>995</v>
      </c>
      <c r="G34" s="47">
        <v>1003</v>
      </c>
      <c r="H34" s="86">
        <f t="shared" si="5"/>
        <v>0.9920239282153539</v>
      </c>
      <c r="I34" s="47">
        <v>2727000000</v>
      </c>
      <c r="J34" s="47">
        <f t="shared" si="1"/>
        <v>8533183000000</v>
      </c>
      <c r="K34" s="95">
        <f t="shared" si="2"/>
        <v>3.1957594252930005E-4</v>
      </c>
      <c r="L34" s="47">
        <v>6491794000000</v>
      </c>
      <c r="M34" s="47">
        <v>17363003000000</v>
      </c>
      <c r="N34" s="133">
        <f t="shared" si="4"/>
        <v>0.37388659093130377</v>
      </c>
    </row>
    <row r="35" spans="1:14" ht="15.75" customHeight="1" x14ac:dyDescent="0.25">
      <c r="A35" s="143" t="str">
        <f>'X3'!B35</f>
        <v>TCID</v>
      </c>
      <c r="B35" s="42" t="str">
        <f>'X3'!C35</f>
        <v>PT MANDOM INDONESIA</v>
      </c>
      <c r="C35" s="43">
        <v>4951</v>
      </c>
      <c r="D35" s="44">
        <v>2804151670769</v>
      </c>
      <c r="E35" s="89">
        <f t="shared" si="0"/>
        <v>1.7655963661345951E-9</v>
      </c>
      <c r="F35" s="46">
        <v>11000</v>
      </c>
      <c r="G35" s="47">
        <v>10042</v>
      </c>
      <c r="H35" s="86">
        <f t="shared" si="5"/>
        <v>1.0953993228440551</v>
      </c>
      <c r="I35" s="47">
        <v>100424781807</v>
      </c>
      <c r="J35" s="47">
        <f t="shared" si="1"/>
        <v>2804151670769</v>
      </c>
      <c r="K35" s="95">
        <f t="shared" si="2"/>
        <v>3.5812892310300708E-2</v>
      </c>
      <c r="L35" s="47">
        <v>938300134590</v>
      </c>
      <c r="M35" s="47">
        <v>2551192620939</v>
      </c>
      <c r="N35" s="133">
        <f t="shared" si="4"/>
        <v>0.36778882428902854</v>
      </c>
    </row>
    <row r="36" spans="1:14" ht="15.75" customHeight="1" x14ac:dyDescent="0.25">
      <c r="A36" s="143" t="str">
        <f>'X3'!B36</f>
        <v>TSPC</v>
      </c>
      <c r="B36" s="42" t="str">
        <f>'X3'!C36</f>
        <v>PT TEMPO SCAN PACIFIC</v>
      </c>
      <c r="C36" s="43">
        <v>5510</v>
      </c>
      <c r="D36" s="44">
        <v>10993842057747</v>
      </c>
      <c r="E36" s="89">
        <f t="shared" si="0"/>
        <v>5.0118966336407245E-10</v>
      </c>
      <c r="F36" s="46">
        <v>1395</v>
      </c>
      <c r="G36" s="47">
        <v>1286</v>
      </c>
      <c r="H36" s="86">
        <f t="shared" si="5"/>
        <v>1.0847589424572317</v>
      </c>
      <c r="I36" s="47">
        <v>1789991718657</v>
      </c>
      <c r="J36" s="47">
        <f t="shared" si="1"/>
        <v>10993842057747</v>
      </c>
      <c r="K36" s="95">
        <f t="shared" si="2"/>
        <v>0.16281766731364414</v>
      </c>
      <c r="L36" s="47">
        <v>2370214050251</v>
      </c>
      <c r="M36" s="47">
        <v>8372769580743</v>
      </c>
      <c r="N36" s="133">
        <f t="shared" si="4"/>
        <v>0.28308602397256788</v>
      </c>
    </row>
    <row r="37" spans="1:14" ht="15.75" customHeight="1" x14ac:dyDescent="0.25">
      <c r="A37" s="143" t="str">
        <f>'X3'!B37</f>
        <v>UNVR</v>
      </c>
      <c r="B37" s="42" t="str">
        <f>'X3'!C37</f>
        <v>PT UNILEVER INDONESIA</v>
      </c>
      <c r="C37" s="43">
        <v>5433</v>
      </c>
      <c r="D37" s="44">
        <v>42922563000000</v>
      </c>
      <c r="E37" s="89">
        <f t="shared" si="0"/>
        <v>1.2657678433601462E-10</v>
      </c>
      <c r="F37" s="46">
        <v>8400</v>
      </c>
      <c r="G37" s="47">
        <v>138</v>
      </c>
      <c r="H37" s="86">
        <f t="shared" si="5"/>
        <v>60.869565217391305</v>
      </c>
      <c r="I37" s="47">
        <v>2288304000000</v>
      </c>
      <c r="J37" s="47">
        <f t="shared" si="1"/>
        <v>42922563000000</v>
      </c>
      <c r="K37" s="95">
        <f t="shared" si="2"/>
        <v>5.3312380250918383E-2</v>
      </c>
      <c r="L37" s="47">
        <v>10715376000000</v>
      </c>
      <c r="M37" s="47">
        <v>12119037000000</v>
      </c>
      <c r="N37" s="133">
        <f t="shared" si="4"/>
        <v>0.88417718338511553</v>
      </c>
    </row>
    <row r="38" spans="1:14" ht="15.75" customHeight="1" x14ac:dyDescent="0.25">
      <c r="A38" s="41" t="str">
        <f>'X3'!B38</f>
        <v>BLTA</v>
      </c>
      <c r="B38" s="42" t="str">
        <f>'X3'!C38</f>
        <v>PT BERLIAN LAJU TANKER</v>
      </c>
      <c r="C38" s="43">
        <v>68</v>
      </c>
      <c r="D38" s="44">
        <f>20051894*14380</f>
        <v>288346235720</v>
      </c>
      <c r="E38" s="89">
        <f t="shared" si="0"/>
        <v>2.358275974375186E-10</v>
      </c>
      <c r="F38" s="46">
        <v>50</v>
      </c>
      <c r="G38" s="47">
        <v>16</v>
      </c>
      <c r="H38" s="86">
        <f t="shared" si="5"/>
        <v>3.125</v>
      </c>
      <c r="I38" s="47">
        <v>0</v>
      </c>
      <c r="J38" s="47">
        <f t="shared" si="1"/>
        <v>288346235720</v>
      </c>
      <c r="K38" s="95">
        <f t="shared" si="2"/>
        <v>0</v>
      </c>
      <c r="L38" s="47">
        <f>20262018*14001</f>
        <v>283688514018</v>
      </c>
      <c r="M38" s="47">
        <f>67412629*14001</f>
        <v>943844218629</v>
      </c>
      <c r="N38" s="133">
        <f t="shared" si="4"/>
        <v>0.30056709403812154</v>
      </c>
    </row>
    <row r="39" spans="1:14" ht="30" x14ac:dyDescent="0.25">
      <c r="A39" s="41" t="str">
        <f>'X3'!B39</f>
        <v>BBRM</v>
      </c>
      <c r="B39" s="42" t="str">
        <f>'X3'!C39</f>
        <v>PT PELAYARAN NASIONAL BINA BUANA RAYA</v>
      </c>
      <c r="C39" s="43">
        <v>29</v>
      </c>
      <c r="D39" s="44">
        <f>17280293*14001</f>
        <v>241941382293</v>
      </c>
      <c r="E39" s="89">
        <f t="shared" si="0"/>
        <v>1.1986374437127056E-10</v>
      </c>
      <c r="F39" s="46">
        <v>50</v>
      </c>
      <c r="G39" s="47">
        <v>47</v>
      </c>
      <c r="H39" s="86">
        <f t="shared" si="5"/>
        <v>1.0638297872340425</v>
      </c>
      <c r="I39" s="47">
        <v>0</v>
      </c>
      <c r="J39" s="47">
        <f t="shared" si="1"/>
        <v>241941382293</v>
      </c>
      <c r="K39" s="95">
        <f t="shared" si="2"/>
        <v>0</v>
      </c>
      <c r="L39" s="47">
        <f>69859428*14001</f>
        <v>978101851428</v>
      </c>
      <c r="M39" s="47">
        <f>77498877*14001</f>
        <v>1085061776877</v>
      </c>
      <c r="N39" s="133">
        <f t="shared" si="4"/>
        <v>0.90142503613310421</v>
      </c>
    </row>
    <row r="40" spans="1:14" ht="15.75" customHeight="1" x14ac:dyDescent="0.25">
      <c r="A40" s="41" t="str">
        <f>'X3'!B40</f>
        <v>BTEL</v>
      </c>
      <c r="B40" s="42" t="str">
        <f>'X3'!C40</f>
        <v>PT BAKRIE TELECOM</v>
      </c>
      <c r="C40" s="43">
        <v>67</v>
      </c>
      <c r="D40" s="44">
        <v>10275000000</v>
      </c>
      <c r="E40" s="89">
        <f t="shared" si="0"/>
        <v>6.5206812652068125E-9</v>
      </c>
      <c r="F40" s="46">
        <v>50</v>
      </c>
      <c r="G40" s="47">
        <v>-413</v>
      </c>
      <c r="H40" s="86">
        <f t="shared" si="5"/>
        <v>-0.12106537530266344</v>
      </c>
      <c r="I40" s="47">
        <v>16000000</v>
      </c>
      <c r="J40" s="47">
        <f t="shared" ref="J40:J103" si="6">D40</f>
        <v>10275000000</v>
      </c>
      <c r="K40" s="95">
        <f t="shared" si="2"/>
        <v>1.5571776155717761E-3</v>
      </c>
      <c r="L40" s="47">
        <v>425000000</v>
      </c>
      <c r="M40" s="47">
        <v>15677000000</v>
      </c>
      <c r="N40" s="133">
        <f t="shared" si="4"/>
        <v>2.7109778656630733E-2</v>
      </c>
    </row>
    <row r="41" spans="1:14" ht="15.75" customHeight="1" x14ac:dyDescent="0.25">
      <c r="A41" s="41" t="str">
        <f>'X3'!B41</f>
        <v>BULL</v>
      </c>
      <c r="B41" s="42" t="str">
        <f>'X3'!C41</f>
        <v>PT BUANA LINTAS LAUTAN</v>
      </c>
      <c r="C41" s="43">
        <v>201</v>
      </c>
      <c r="D41" s="44">
        <f>101451071*14001</f>
        <v>1420416445071</v>
      </c>
      <c r="E41" s="89">
        <f t="shared" si="0"/>
        <v>1.4150779561690653E-10</v>
      </c>
      <c r="F41" s="46">
        <v>162</v>
      </c>
      <c r="G41" s="47">
        <v>305</v>
      </c>
      <c r="H41" s="86">
        <f t="shared" si="5"/>
        <v>0.5311475409836065</v>
      </c>
      <c r="I41" s="47">
        <v>0</v>
      </c>
      <c r="J41" s="47">
        <f t="shared" si="6"/>
        <v>1420416445071</v>
      </c>
      <c r="K41" s="95">
        <f t="shared" si="2"/>
        <v>0</v>
      </c>
      <c r="L41" s="47">
        <f>358439121*14001</f>
        <v>5018506133121</v>
      </c>
      <c r="M41" s="47">
        <f>550843358*14001</f>
        <v>7712357855358</v>
      </c>
      <c r="N41" s="133">
        <f t="shared" si="4"/>
        <v>0.65070970865732036</v>
      </c>
    </row>
    <row r="42" spans="1:14" ht="15.75" customHeight="1" x14ac:dyDescent="0.25">
      <c r="A42" s="41" t="str">
        <f>'X3'!B42</f>
        <v>EXCL</v>
      </c>
      <c r="B42" s="42" t="str">
        <f>'X3'!C42</f>
        <v>PT XL AXIATA</v>
      </c>
      <c r="C42" s="43">
        <v>1602</v>
      </c>
      <c r="D42" s="44">
        <v>25132628000000</v>
      </c>
      <c r="E42" s="89">
        <f t="shared" si="0"/>
        <v>6.3741841879806606E-11</v>
      </c>
      <c r="F42" s="46">
        <v>3150</v>
      </c>
      <c r="G42" s="47">
        <v>1786</v>
      </c>
      <c r="H42" s="86">
        <f t="shared" si="5"/>
        <v>1.7637178051511757</v>
      </c>
      <c r="I42" s="47">
        <v>710231000000</v>
      </c>
      <c r="J42" s="47">
        <f t="shared" si="6"/>
        <v>25132628000000</v>
      </c>
      <c r="K42" s="95">
        <f t="shared" si="2"/>
        <v>2.8259320911446267E-2</v>
      </c>
      <c r="L42" s="47">
        <v>42081680000000</v>
      </c>
      <c r="M42" s="47">
        <v>62725242000000</v>
      </c>
      <c r="N42" s="133">
        <f t="shared" si="4"/>
        <v>0.67088908162363092</v>
      </c>
    </row>
    <row r="43" spans="1:14" ht="15.75" customHeight="1" x14ac:dyDescent="0.25">
      <c r="A43" s="41" t="str">
        <f>'X3'!B43</f>
        <v>GIAA</v>
      </c>
      <c r="B43" s="42" t="str">
        <f>'X3'!C43</f>
        <v>PT GARUDA INDONESIA</v>
      </c>
      <c r="C43" s="43">
        <v>15623</v>
      </c>
      <c r="D43" s="44">
        <f>3773399072*14001</f>
        <v>52831360407072</v>
      </c>
      <c r="E43" s="89">
        <f t="shared" si="0"/>
        <v>2.9571451273680826E-10</v>
      </c>
      <c r="F43" s="46">
        <v>498</v>
      </c>
      <c r="G43" s="47">
        <v>388</v>
      </c>
      <c r="H43" s="86">
        <f t="shared" si="5"/>
        <v>1.2835051546391754</v>
      </c>
      <c r="I43" s="47">
        <f>9913194*14001</f>
        <v>138794629194</v>
      </c>
      <c r="J43" s="47">
        <f t="shared" si="6"/>
        <v>52831360407072</v>
      </c>
      <c r="K43" s="95">
        <f t="shared" si="2"/>
        <v>2.6271257852262492E-3</v>
      </c>
      <c r="L43" s="47">
        <f>1143600991*14001</f>
        <v>16011557474991</v>
      </c>
      <c r="M43" s="47">
        <f>4455675774*14001</f>
        <v>62383916511774</v>
      </c>
      <c r="N43" s="133">
        <f t="shared" si="4"/>
        <v>0.25666162643009222</v>
      </c>
    </row>
    <row r="44" spans="1:14" ht="30" x14ac:dyDescent="0.25">
      <c r="A44" s="41" t="str">
        <f>'X3'!B44</f>
        <v>HITS</v>
      </c>
      <c r="B44" s="42" t="str">
        <f>'X3'!C44</f>
        <v>HUMPUSS INTERMODA TRANSPORTASI</v>
      </c>
      <c r="C44" s="43">
        <f>206+1552</f>
        <v>1758</v>
      </c>
      <c r="D44" s="44">
        <f>86257559*14001</f>
        <v>1207692083559</v>
      </c>
      <c r="E44" s="89">
        <f t="shared" si="0"/>
        <v>1.4556690599637564E-9</v>
      </c>
      <c r="F44" s="46">
        <v>725</v>
      </c>
      <c r="G44" s="47">
        <v>123</v>
      </c>
      <c r="H44" s="86">
        <f t="shared" si="5"/>
        <v>5.8943089430894311</v>
      </c>
      <c r="I44" s="47">
        <v>0</v>
      </c>
      <c r="J44" s="47">
        <f t="shared" si="6"/>
        <v>1207692083559</v>
      </c>
      <c r="K44" s="95">
        <f t="shared" si="2"/>
        <v>0</v>
      </c>
      <c r="L44" s="47">
        <f>145743249*14001</f>
        <v>2040551229249</v>
      </c>
      <c r="M44" s="47">
        <f>203847778*14001</f>
        <v>2854072739778</v>
      </c>
      <c r="N44" s="133">
        <f t="shared" si="4"/>
        <v>0.71496118539982323</v>
      </c>
    </row>
    <row r="45" spans="1:14" ht="15.75" customHeight="1" x14ac:dyDescent="0.25">
      <c r="A45" s="41" t="str">
        <f>'X3'!B45</f>
        <v>ISAT</v>
      </c>
      <c r="B45" s="42" t="str">
        <f>'X3'!C45</f>
        <v>PT INDOSAT</v>
      </c>
      <c r="C45" s="43">
        <v>3708</v>
      </c>
      <c r="D45" s="44">
        <v>26117533000000</v>
      </c>
      <c r="E45" s="89">
        <f t="shared" si="0"/>
        <v>1.419735929882811E-10</v>
      </c>
      <c r="F45" s="46">
        <v>2910</v>
      </c>
      <c r="G45" s="47">
        <v>2522</v>
      </c>
      <c r="H45" s="86">
        <f t="shared" si="5"/>
        <v>1.1538461538461537</v>
      </c>
      <c r="I45" s="47">
        <v>258810000000</v>
      </c>
      <c r="J45" s="47">
        <f t="shared" si="6"/>
        <v>26117533000000</v>
      </c>
      <c r="K45" s="95">
        <f t="shared" si="2"/>
        <v>9.9094351675558332E-3</v>
      </c>
      <c r="L45" s="47">
        <v>42753285000000</v>
      </c>
      <c r="M45" s="47">
        <v>62813000000000</v>
      </c>
      <c r="N45" s="133">
        <f t="shared" si="4"/>
        <v>0.68064389537197711</v>
      </c>
    </row>
    <row r="46" spans="1:14" ht="30" x14ac:dyDescent="0.25">
      <c r="A46" s="41" t="str">
        <f>'X3'!B46</f>
        <v>MBSS</v>
      </c>
      <c r="B46" s="42" t="str">
        <f>'X3'!C46</f>
        <v>PT MITRABAHTERA SEGARA SEJATI</v>
      </c>
      <c r="C46" s="43">
        <v>217</v>
      </c>
      <c r="D46" s="44">
        <f>77840848*14001</f>
        <v>1089849712848</v>
      </c>
      <c r="E46" s="89">
        <f t="shared" si="0"/>
        <v>1.9911002172302697E-10</v>
      </c>
      <c r="F46" s="46">
        <v>482</v>
      </c>
      <c r="G46" s="47">
        <v>1369</v>
      </c>
      <c r="H46" s="86">
        <f t="shared" si="5"/>
        <v>0.35208181154127099</v>
      </c>
      <c r="I46" s="47">
        <v>0</v>
      </c>
      <c r="J46" s="47">
        <f t="shared" si="6"/>
        <v>1089849712848</v>
      </c>
      <c r="K46" s="95">
        <f t="shared" si="2"/>
        <v>0</v>
      </c>
      <c r="L46" s="47">
        <f>159045406*14001</f>
        <v>2226794729406</v>
      </c>
      <c r="M46" s="47">
        <f>218135430*14001</f>
        <v>3054114155430</v>
      </c>
      <c r="N46" s="133">
        <f t="shared" si="4"/>
        <v>0.72911312939855755</v>
      </c>
    </row>
    <row r="47" spans="1:14" x14ac:dyDescent="0.25">
      <c r="A47" s="41" t="str">
        <f>'X3'!B47</f>
        <v>PGAS</v>
      </c>
      <c r="B47" s="42" t="str">
        <f>'X3'!C47</f>
        <v>PT PERUSAHAAN GAS NEGARA</v>
      </c>
      <c r="C47" s="43">
        <v>3119</v>
      </c>
      <c r="D47" s="44">
        <f>3848717684*14001</f>
        <v>53885896293684</v>
      </c>
      <c r="E47" s="89">
        <f t="shared" si="0"/>
        <v>5.7881564834722441E-11</v>
      </c>
      <c r="F47" s="51">
        <v>2170</v>
      </c>
      <c r="G47" s="47">
        <v>1860</v>
      </c>
      <c r="H47" s="86">
        <f t="shared" si="5"/>
        <v>1.1666666666666667</v>
      </c>
      <c r="I47" s="47">
        <f>5446081*14001</f>
        <v>76250580081</v>
      </c>
      <c r="J47" s="47">
        <f t="shared" si="6"/>
        <v>53885896293684</v>
      </c>
      <c r="K47" s="95">
        <f t="shared" si="2"/>
        <v>1.4150377988597618E-3</v>
      </c>
      <c r="L47" s="47">
        <f>2747699602*14001</f>
        <v>38470542127602</v>
      </c>
      <c r="M47" s="47">
        <f>7373713156*14001</f>
        <v>103239357897156</v>
      </c>
      <c r="N47" s="133">
        <f t="shared" si="4"/>
        <v>0.37263445754791713</v>
      </c>
    </row>
    <row r="48" spans="1:14" ht="15.75" customHeight="1" x14ac:dyDescent="0.25">
      <c r="A48" s="41" t="str">
        <f>'X3'!B48</f>
        <v>PTIS</v>
      </c>
      <c r="B48" s="42" t="str">
        <f>'X3'!C48</f>
        <v>PT INDO STRAITS</v>
      </c>
      <c r="C48" s="43">
        <v>166</v>
      </c>
      <c r="D48" s="44">
        <f>13084288*13548</f>
        <v>177265933824</v>
      </c>
      <c r="E48" s="89">
        <f t="shared" si="0"/>
        <v>9.3644614291663344E-10</v>
      </c>
      <c r="F48" s="46">
        <v>194</v>
      </c>
      <c r="G48" s="47">
        <v>421</v>
      </c>
      <c r="H48" s="86">
        <f t="shared" si="5"/>
        <v>0.46080760095011875</v>
      </c>
      <c r="I48" s="47">
        <v>0</v>
      </c>
      <c r="J48" s="47">
        <f t="shared" si="6"/>
        <v>177265933824</v>
      </c>
      <c r="K48" s="95">
        <f t="shared" si="2"/>
        <v>0</v>
      </c>
      <c r="L48" s="47">
        <f>30206184*14001</f>
        <v>422916782184</v>
      </c>
      <c r="M48" s="47">
        <f>36114930*14001</f>
        <v>505645134930</v>
      </c>
      <c r="N48" s="133">
        <f t="shared" si="4"/>
        <v>0.83639049002725463</v>
      </c>
    </row>
    <row r="49" spans="1:14" ht="15.75" customHeight="1" x14ac:dyDescent="0.25">
      <c r="A49" s="41" t="str">
        <f>'X3'!B49</f>
        <v>SMDR</v>
      </c>
      <c r="B49" s="42" t="str">
        <f>'X3'!C49</f>
        <v>SAMUDERA INDONESIA</v>
      </c>
      <c r="C49" s="43">
        <v>4000</v>
      </c>
      <c r="D49" s="44">
        <f>438865360*14380</f>
        <v>6310883876800</v>
      </c>
      <c r="E49" s="89">
        <f t="shared" si="0"/>
        <v>6.338256380702479E-10</v>
      </c>
      <c r="F49" s="46">
        <v>254</v>
      </c>
      <c r="G49" s="47">
        <v>1050</v>
      </c>
      <c r="H49" s="86">
        <f t="shared" si="5"/>
        <v>0.2419047619047619</v>
      </c>
      <c r="I49" s="53">
        <v>0</v>
      </c>
      <c r="J49" s="53">
        <f t="shared" si="6"/>
        <v>6310883876800</v>
      </c>
      <c r="K49" s="96">
        <f t="shared" si="2"/>
        <v>0</v>
      </c>
      <c r="L49" s="47">
        <f>250260123*14001</f>
        <v>3503891982123</v>
      </c>
      <c r="M49" s="47">
        <f>517225263*14001</f>
        <v>7241670907263</v>
      </c>
      <c r="N49" s="133">
        <f t="shared" si="4"/>
        <v>0.48385131373600365</v>
      </c>
    </row>
    <row r="50" spans="1:14" ht="15.75" customHeight="1" x14ac:dyDescent="0.25">
      <c r="A50" s="41" t="str">
        <f>'X3'!B50</f>
        <v>SOCI</v>
      </c>
      <c r="B50" s="42" t="str">
        <f>'X3'!C50</f>
        <v xml:space="preserve">PT SOECHI LINES </v>
      </c>
      <c r="C50" s="43">
        <v>310</v>
      </c>
      <c r="D50" s="44">
        <f>157273513*14001</f>
        <v>2201986455513</v>
      </c>
      <c r="E50" s="89">
        <f t="shared" si="0"/>
        <v>1.4078197403252368E-10</v>
      </c>
      <c r="F50" s="82">
        <v>172</v>
      </c>
      <c r="G50" s="53">
        <v>662</v>
      </c>
      <c r="H50" s="86">
        <f t="shared" si="5"/>
        <v>0.25981873111782477</v>
      </c>
      <c r="I50" s="44">
        <v>0</v>
      </c>
      <c r="J50" s="44">
        <f t="shared" si="6"/>
        <v>2201986455513</v>
      </c>
      <c r="K50" s="97">
        <f t="shared" si="2"/>
        <v>0</v>
      </c>
      <c r="L50" s="53">
        <f>563331601*14001</f>
        <v>7887205745601</v>
      </c>
      <c r="M50" s="53">
        <f>688215790*14001</f>
        <v>9635709275790</v>
      </c>
      <c r="N50" s="134">
        <f t="shared" si="4"/>
        <v>0.8185391982941862</v>
      </c>
    </row>
    <row r="51" spans="1:14" ht="30" x14ac:dyDescent="0.25">
      <c r="A51" s="41" t="str">
        <f>'X3'!B51</f>
        <v>TBIG</v>
      </c>
      <c r="B51" s="42" t="str">
        <f>'X3'!C51</f>
        <v>PT TOWER BERSAMA INFRASTRUCTURE</v>
      </c>
      <c r="C51" s="43">
        <v>680</v>
      </c>
      <c r="D51" s="44">
        <v>4698742000000</v>
      </c>
      <c r="E51" s="89">
        <f t="shared" si="0"/>
        <v>1.4471958664680886E-10</v>
      </c>
      <c r="F51" s="83">
        <v>1230</v>
      </c>
      <c r="G51" s="44">
        <v>243</v>
      </c>
      <c r="H51" s="138">
        <f t="shared" si="5"/>
        <v>5.0617283950617287</v>
      </c>
      <c r="I51" s="44">
        <v>0</v>
      </c>
      <c r="J51" s="44">
        <f t="shared" si="6"/>
        <v>4698742000000</v>
      </c>
      <c r="K51" s="97">
        <f t="shared" si="2"/>
        <v>0</v>
      </c>
      <c r="L51" s="44">
        <v>24649294000000</v>
      </c>
      <c r="M51" s="44">
        <v>30871710000000</v>
      </c>
      <c r="N51" s="135">
        <f t="shared" si="4"/>
        <v>0.798442781433228</v>
      </c>
    </row>
    <row r="52" spans="1:14" x14ac:dyDescent="0.25">
      <c r="A52" s="41" t="str">
        <f>'X3'!B52</f>
        <v>TLKM</v>
      </c>
      <c r="B52" s="42" t="str">
        <f>'X3'!C52</f>
        <v>PT TELEKOMUNIKASI INDONESIA</v>
      </c>
      <c r="C52" s="43">
        <v>24272</v>
      </c>
      <c r="D52" s="51">
        <v>135567000000000</v>
      </c>
      <c r="E52" s="89">
        <f t="shared" ref="E52:E118" si="7">C52/D52</f>
        <v>1.7904062198027543E-10</v>
      </c>
      <c r="F52" s="83">
        <v>3970</v>
      </c>
      <c r="G52" s="44">
        <v>1183</v>
      </c>
      <c r="H52" s="138">
        <f t="shared" si="5"/>
        <v>3.3558748943364329</v>
      </c>
      <c r="I52" s="44">
        <v>0</v>
      </c>
      <c r="J52" s="44">
        <f t="shared" si="6"/>
        <v>135567000000000</v>
      </c>
      <c r="K52" s="97">
        <f t="shared" si="2"/>
        <v>0</v>
      </c>
      <c r="L52" s="44">
        <v>156973000000000</v>
      </c>
      <c r="M52" s="44">
        <v>221208000000000</v>
      </c>
      <c r="N52" s="135">
        <f t="shared" si="4"/>
        <v>0.70961719286825065</v>
      </c>
    </row>
    <row r="53" spans="1:14" ht="30" x14ac:dyDescent="0.25">
      <c r="A53" s="41" t="str">
        <f>'X3'!B53</f>
        <v>TMAS</v>
      </c>
      <c r="B53" s="42" t="str">
        <f>'X3'!C53</f>
        <v>PT PELAYARAN TEMPURAN EMAS</v>
      </c>
      <c r="C53" s="43">
        <v>475</v>
      </c>
      <c r="D53" s="44">
        <v>2512269000000</v>
      </c>
      <c r="E53" s="89">
        <f t="shared" si="7"/>
        <v>1.8907210971436579E-10</v>
      </c>
      <c r="F53" s="83">
        <v>102</v>
      </c>
      <c r="G53" s="44">
        <v>207</v>
      </c>
      <c r="H53" s="138">
        <f t="shared" si="5"/>
        <v>0.49275362318840582</v>
      </c>
      <c r="I53" s="44">
        <v>0</v>
      </c>
      <c r="J53" s="44">
        <f t="shared" si="6"/>
        <v>2512269000000</v>
      </c>
      <c r="K53" s="97">
        <f t="shared" si="2"/>
        <v>0</v>
      </c>
      <c r="L53" s="44">
        <v>2511934000000</v>
      </c>
      <c r="M53" s="44">
        <v>3266151000000</v>
      </c>
      <c r="N53" s="135">
        <f t="shared" si="4"/>
        <v>0.7690807926516563</v>
      </c>
    </row>
    <row r="54" spans="1:14" ht="30" x14ac:dyDescent="0.25">
      <c r="A54" s="41" t="str">
        <f>'X3'!B54</f>
        <v>WINS</v>
      </c>
      <c r="B54" s="42" t="str">
        <f>'X3'!C54</f>
        <v>PT WINTERMAR OFFSHORE MARINE</v>
      </c>
      <c r="C54" s="43">
        <v>168</v>
      </c>
      <c r="D54" s="44">
        <f>56088458*14001</f>
        <v>785294500458</v>
      </c>
      <c r="E54" s="89">
        <f t="shared" si="7"/>
        <v>2.1393247998301138E-10</v>
      </c>
      <c r="F54" s="83">
        <v>120</v>
      </c>
      <c r="G54" s="44">
        <v>510</v>
      </c>
      <c r="H54" s="138">
        <f t="shared" si="5"/>
        <v>0.23529411764705882</v>
      </c>
      <c r="I54" s="44">
        <v>0</v>
      </c>
      <c r="J54" s="44">
        <f t="shared" si="6"/>
        <v>785294500458</v>
      </c>
      <c r="K54" s="97">
        <f t="shared" si="2"/>
        <v>0</v>
      </c>
      <c r="L54" s="44">
        <f>191440643*14001</f>
        <v>2680360442643</v>
      </c>
      <c r="M54" s="44">
        <f>247743725*14001</f>
        <v>3468659893725</v>
      </c>
      <c r="N54" s="135">
        <f t="shared" si="4"/>
        <v>0.77273659706214559</v>
      </c>
    </row>
    <row r="55" spans="1:14" ht="15.75" customHeight="1" x14ac:dyDescent="0.25">
      <c r="A55" s="41" t="str">
        <f>'X3'!B55</f>
        <v>ADRO</v>
      </c>
      <c r="B55" s="42" t="str">
        <f>'X3'!C55</f>
        <v>PT ADARO ENERGY</v>
      </c>
      <c r="C55" s="43">
        <v>10988</v>
      </c>
      <c r="D55" s="44">
        <f>3457154*O6</f>
        <v>48403613154</v>
      </c>
      <c r="E55" s="89">
        <f t="shared" si="7"/>
        <v>2.2700784681178226E-7</v>
      </c>
      <c r="F55" s="83">
        <v>1555</v>
      </c>
      <c r="G55" s="44">
        <v>1736</v>
      </c>
      <c r="H55" s="138">
        <f t="shared" si="5"/>
        <v>0.89573732718894006</v>
      </c>
      <c r="I55" s="44">
        <v>0</v>
      </c>
      <c r="J55" s="44">
        <f t="shared" si="6"/>
        <v>48403613154</v>
      </c>
      <c r="K55" s="97">
        <f t="shared" si="2"/>
        <v>0</v>
      </c>
      <c r="L55" s="44">
        <f>1722413*O6</f>
        <v>24115504413</v>
      </c>
      <c r="M55" s="44">
        <f>7217105*O6</f>
        <v>101046687105</v>
      </c>
      <c r="N55" s="135">
        <f t="shared" si="4"/>
        <v>0.23865705154629177</v>
      </c>
    </row>
    <row r="56" spans="1:14" ht="15.75" customHeight="1" x14ac:dyDescent="0.25">
      <c r="A56" s="41" t="str">
        <f>'X3'!B56</f>
        <v>ANTM</v>
      </c>
      <c r="B56" s="42" t="str">
        <f>'X3'!C56</f>
        <v>PT ANEKA TAMBANG</v>
      </c>
      <c r="C56" s="43">
        <v>3984</v>
      </c>
      <c r="D56" s="44">
        <v>32718542699000</v>
      </c>
      <c r="E56" s="89">
        <f t="shared" si="7"/>
        <v>1.217658144695352E-10</v>
      </c>
      <c r="F56" s="83">
        <v>840</v>
      </c>
      <c r="G56" s="44">
        <v>754</v>
      </c>
      <c r="H56" s="138">
        <f t="shared" si="5"/>
        <v>1.1140583554376657</v>
      </c>
      <c r="I56" s="44">
        <v>0</v>
      </c>
      <c r="J56" s="44">
        <f t="shared" si="6"/>
        <v>32718542699000</v>
      </c>
      <c r="K56" s="97">
        <f t="shared" si="2"/>
        <v>0</v>
      </c>
      <c r="L56" s="44">
        <v>18865691270000</v>
      </c>
      <c r="M56" s="44">
        <v>30194907730000</v>
      </c>
      <c r="N56" s="135">
        <f t="shared" si="4"/>
        <v>0.62479711607981125</v>
      </c>
    </row>
    <row r="57" spans="1:14" ht="15.75" customHeight="1" x14ac:dyDescent="0.25">
      <c r="A57" s="41" t="str">
        <f>'X3'!B57</f>
        <v xml:space="preserve">BYAN </v>
      </c>
      <c r="B57" s="42" t="str">
        <f>'X3'!C57</f>
        <v>PT BAYAN RESOURCES</v>
      </c>
      <c r="C57" s="43">
        <v>593</v>
      </c>
      <c r="D57" s="44">
        <f>1391589834*O6</f>
        <v>19483649265834</v>
      </c>
      <c r="E57" s="89">
        <f t="shared" si="7"/>
        <v>3.0435776784376257E-11</v>
      </c>
      <c r="F57" s="83">
        <v>15900</v>
      </c>
      <c r="G57" s="44">
        <v>2589</v>
      </c>
      <c r="H57" s="138">
        <f t="shared" si="5"/>
        <v>6.1413673232908454</v>
      </c>
      <c r="I57" s="44">
        <v>0</v>
      </c>
      <c r="J57" s="44">
        <f t="shared" si="6"/>
        <v>19483649265834</v>
      </c>
      <c r="K57" s="97">
        <f t="shared" si="2"/>
        <v>0</v>
      </c>
      <c r="L57" s="44">
        <f>330906389*O6</f>
        <v>4633020352389</v>
      </c>
      <c r="M57" s="44">
        <f>1278040123*O6</f>
        <v>17893839762123</v>
      </c>
      <c r="N57" s="135">
        <f t="shared" si="4"/>
        <v>0.25891705827141703</v>
      </c>
    </row>
    <row r="58" spans="1:14" ht="15.75" customHeight="1" x14ac:dyDescent="0.25">
      <c r="A58" s="41" t="str">
        <f>'X3'!B58</f>
        <v>DSSA</v>
      </c>
      <c r="B58" s="42" t="str">
        <f>'X3'!C58</f>
        <v>PT DIAN SWASTATIKA SENTOSA</v>
      </c>
      <c r="C58" s="43">
        <v>2525</v>
      </c>
      <c r="D58" s="44">
        <f>1666415381*O6</f>
        <v>23331481749381</v>
      </c>
      <c r="E58" s="89">
        <f t="shared" si="7"/>
        <v>1.0822287358868624E-10</v>
      </c>
      <c r="F58" s="83">
        <v>13875</v>
      </c>
      <c r="G58" s="44">
        <v>29645</v>
      </c>
      <c r="H58" s="87">
        <f t="shared" si="5"/>
        <v>0.46803845505144204</v>
      </c>
      <c r="I58" s="44">
        <v>0</v>
      </c>
      <c r="J58" s="44">
        <f t="shared" si="6"/>
        <v>23331481749381</v>
      </c>
      <c r="K58" s="97">
        <f t="shared" si="2"/>
        <v>0</v>
      </c>
      <c r="L58" s="44">
        <f>432269386*O6</f>
        <v>6052203673386</v>
      </c>
      <c r="M58" s="44">
        <f>3718973064*O6</f>
        <v>52069341869064</v>
      </c>
      <c r="N58" s="135">
        <f t="shared" si="4"/>
        <v>0.1162335350541813</v>
      </c>
    </row>
    <row r="59" spans="1:14" ht="15.75" customHeight="1" x14ac:dyDescent="0.25">
      <c r="A59" s="41" t="str">
        <f>'X3'!B59</f>
        <v>GEMS</v>
      </c>
      <c r="B59" s="42" t="str">
        <f>'X3'!C59</f>
        <v>PT GOLDEN ENERGY MINES</v>
      </c>
      <c r="C59" s="43">
        <v>473</v>
      </c>
      <c r="D59" s="44">
        <f>1107464101*O6</f>
        <v>15505604878101</v>
      </c>
      <c r="E59" s="89">
        <f t="shared" si="7"/>
        <v>3.0505098235027978E-11</v>
      </c>
      <c r="F59" s="83">
        <v>2550</v>
      </c>
      <c r="G59" s="44">
        <v>849</v>
      </c>
      <c r="H59" s="87">
        <f t="shared" si="5"/>
        <v>3.0035335689045937</v>
      </c>
      <c r="I59" s="44">
        <v>0</v>
      </c>
      <c r="J59" s="44">
        <f t="shared" si="6"/>
        <v>15505604878101</v>
      </c>
      <c r="K59" s="97">
        <f t="shared" si="2"/>
        <v>0</v>
      </c>
      <c r="L59" s="44">
        <f>84856175*O6</f>
        <v>1188071306175</v>
      </c>
      <c r="M59" s="44">
        <f>780646167*O6</f>
        <v>10929826984167</v>
      </c>
      <c r="N59" s="135">
        <f t="shared" si="4"/>
        <v>0.10869991884556322</v>
      </c>
    </row>
    <row r="60" spans="1:14" ht="15.75" customHeight="1" x14ac:dyDescent="0.25">
      <c r="A60" s="41" t="str">
        <f>'X3'!B60</f>
        <v>INCO</v>
      </c>
      <c r="B60" s="42" t="str">
        <f>'X3'!C60</f>
        <v>PT VALE INDONESIA</v>
      </c>
      <c r="C60" s="43">
        <v>3044</v>
      </c>
      <c r="D60" s="44">
        <f>782012000*O6</f>
        <v>10948950012000</v>
      </c>
      <c r="E60" s="89">
        <f t="shared" si="7"/>
        <v>2.7801752649010086E-10</v>
      </c>
      <c r="F60" s="83">
        <v>3640</v>
      </c>
      <c r="G60" s="44">
        <v>2725</v>
      </c>
      <c r="H60" s="87">
        <f t="shared" si="5"/>
        <v>1.3357798165137615</v>
      </c>
      <c r="I60" s="44">
        <v>0</v>
      </c>
      <c r="J60" s="44">
        <f t="shared" si="6"/>
        <v>10948950012000</v>
      </c>
      <c r="K60" s="97">
        <f t="shared" si="2"/>
        <v>0</v>
      </c>
      <c r="L60" s="44">
        <f>1467462000*O6</f>
        <v>20545935462000</v>
      </c>
      <c r="M60" s="44">
        <f>2222688000*O6</f>
        <v>31119854688000</v>
      </c>
      <c r="N60" s="135">
        <f t="shared" si="4"/>
        <v>0.66021951798902945</v>
      </c>
    </row>
    <row r="61" spans="1:14" ht="15.75" customHeight="1" x14ac:dyDescent="0.25">
      <c r="A61" s="41" t="str">
        <f>'X3'!B61</f>
        <v>INDY</v>
      </c>
      <c r="B61" s="42" t="str">
        <f>'X3'!C61</f>
        <v>PT INDIKA ENERGY</v>
      </c>
      <c r="C61" s="43">
        <v>8382</v>
      </c>
      <c r="D61" s="44">
        <f>2782676420*O6</f>
        <v>38960252556420</v>
      </c>
      <c r="E61" s="89">
        <f t="shared" si="7"/>
        <v>2.1514234251591848E-10</v>
      </c>
      <c r="F61" s="83">
        <v>1195</v>
      </c>
      <c r="G61" s="44">
        <v>2798</v>
      </c>
      <c r="H61" s="87">
        <f t="shared" si="5"/>
        <v>0.42709077912794852</v>
      </c>
      <c r="I61" s="44">
        <v>0</v>
      </c>
      <c r="J61" s="44">
        <f t="shared" si="6"/>
        <v>38960252556420</v>
      </c>
      <c r="K61" s="97">
        <f t="shared" si="2"/>
        <v>0</v>
      </c>
      <c r="L61" s="44">
        <f>682687983*O6</f>
        <v>9558314449983</v>
      </c>
      <c r="M61" s="44">
        <f>3616163065*O6</f>
        <v>50629899073065</v>
      </c>
      <c r="N61" s="135">
        <f t="shared" si="4"/>
        <v>0.18878794200614954</v>
      </c>
    </row>
    <row r="62" spans="1:14" ht="26.25" customHeight="1" x14ac:dyDescent="0.25">
      <c r="A62" s="41" t="str">
        <f>'X3'!B62</f>
        <v>ITMG</v>
      </c>
      <c r="B62" s="42" t="str">
        <f>'X3'!C62</f>
        <v>PT INDO TAMBANGRAYA MEGAH</v>
      </c>
      <c r="C62" s="43">
        <v>2912</v>
      </c>
      <c r="D62" s="44">
        <f>((1715.59*1000000)*O6)</f>
        <v>24019975590000</v>
      </c>
      <c r="E62" s="89">
        <f t="shared" si="7"/>
        <v>1.2123242961214018E-10</v>
      </c>
      <c r="F62" s="83">
        <v>11475</v>
      </c>
      <c r="G62" s="44">
        <v>10915</v>
      </c>
      <c r="H62" s="87">
        <f t="shared" si="5"/>
        <v>1.0513055428309666</v>
      </c>
      <c r="I62" s="44">
        <v>0</v>
      </c>
      <c r="J62" s="44">
        <f t="shared" si="6"/>
        <v>24019975590000</v>
      </c>
      <c r="K62" s="97">
        <f t="shared" si="2"/>
        <v>0</v>
      </c>
      <c r="L62" s="44">
        <f>(237.48*1000000)*O6</f>
        <v>3324957480000</v>
      </c>
      <c r="M62" s="44">
        <f>(1209.04*1000000)*O6</f>
        <v>16927769040000</v>
      </c>
      <c r="N62" s="135">
        <f t="shared" si="4"/>
        <v>0.19642030040362601</v>
      </c>
    </row>
    <row r="63" spans="1:14" ht="30" x14ac:dyDescent="0.25">
      <c r="A63" s="41" t="str">
        <f>'X3'!B63</f>
        <v>MEDC</v>
      </c>
      <c r="B63" s="42" t="str">
        <f>'X3'!C63</f>
        <v>PT MEDCO ENERGI INTERNATIONAL</v>
      </c>
      <c r="C63" s="43">
        <v>2979</v>
      </c>
      <c r="D63" s="44">
        <f>1438290853*O6</f>
        <v>20137510232853</v>
      </c>
      <c r="E63" s="89">
        <f t="shared" si="7"/>
        <v>1.4793288572188836E-10</v>
      </c>
      <c r="F63" s="83">
        <v>865</v>
      </c>
      <c r="G63" s="44">
        <v>752</v>
      </c>
      <c r="H63" s="87">
        <f t="shared" si="5"/>
        <v>1.1502659574468086</v>
      </c>
      <c r="I63" s="44">
        <f>2389433*O6</f>
        <v>33454451433</v>
      </c>
      <c r="J63" s="44">
        <f t="shared" si="6"/>
        <v>20137510232853</v>
      </c>
      <c r="K63" s="97">
        <f t="shared" si="2"/>
        <v>1.6613002822176747E-3</v>
      </c>
      <c r="L63" s="44">
        <f>40647869*O6</f>
        <v>569110813869</v>
      </c>
      <c r="M63" s="44">
        <f>6006538390*O6</f>
        <v>84097543998390</v>
      </c>
      <c r="N63" s="135">
        <f t="shared" si="4"/>
        <v>6.7672703245637627E-3</v>
      </c>
    </row>
    <row r="64" spans="1:14" ht="15.75" customHeight="1" x14ac:dyDescent="0.25">
      <c r="A64" s="41" t="str">
        <f>'X3'!B64</f>
        <v>MYOH</v>
      </c>
      <c r="B64" s="42" t="str">
        <f>'X3'!C64</f>
        <v>PT SAMINDO RESOURCES</v>
      </c>
      <c r="C64" s="43">
        <v>683</v>
      </c>
      <c r="D64" s="44">
        <f>254454591*O6</f>
        <v>3562618728591</v>
      </c>
      <c r="E64" s="89">
        <f t="shared" si="7"/>
        <v>1.9171290896742226E-10</v>
      </c>
      <c r="F64" s="83">
        <v>1295</v>
      </c>
      <c r="G64" s="44">
        <v>772</v>
      </c>
      <c r="H64" s="87">
        <f t="shared" si="5"/>
        <v>1.677461139896373</v>
      </c>
      <c r="I64" s="44">
        <v>0</v>
      </c>
      <c r="J64" s="44">
        <f t="shared" si="6"/>
        <v>3562618728591</v>
      </c>
      <c r="K64" s="97">
        <f t="shared" si="2"/>
        <v>0</v>
      </c>
      <c r="L64" s="44">
        <f>42885181*O6</f>
        <v>600435419181</v>
      </c>
      <c r="M64" s="44">
        <f>160181748*O6</f>
        <v>2242704653748</v>
      </c>
      <c r="N64" s="135">
        <f t="shared" si="4"/>
        <v>0.26772826202396044</v>
      </c>
    </row>
    <row r="65" spans="1:14" ht="15.75" customHeight="1" x14ac:dyDescent="0.25">
      <c r="A65" s="41" t="str">
        <f>'X3'!B65</f>
        <v>PTBA</v>
      </c>
      <c r="B65" s="42" t="str">
        <f>'X3'!C65</f>
        <v>PT BUKIT ASAM</v>
      </c>
      <c r="C65" s="43">
        <v>2199</v>
      </c>
      <c r="D65" s="44">
        <f>21787564000000</f>
        <v>21787564000000</v>
      </c>
      <c r="E65" s="89">
        <f t="shared" si="7"/>
        <v>1.0092913553805281E-10</v>
      </c>
      <c r="F65" s="83">
        <v>2660</v>
      </c>
      <c r="G65" s="44">
        <v>1599</v>
      </c>
      <c r="H65" s="87">
        <f t="shared" si="5"/>
        <v>1.6635397123202</v>
      </c>
      <c r="I65" s="44">
        <v>0</v>
      </c>
      <c r="J65" s="44">
        <f t="shared" si="6"/>
        <v>21787564000000</v>
      </c>
      <c r="K65" s="97">
        <f t="shared" si="2"/>
        <v>0</v>
      </c>
      <c r="L65" s="44">
        <f>7272751000000</f>
        <v>7272751000000</v>
      </c>
      <c r="M65" s="44">
        <f>26098052000000</f>
        <v>26098052000000</v>
      </c>
      <c r="N65" s="135">
        <f t="shared" si="4"/>
        <v>0.27867026243951082</v>
      </c>
    </row>
    <row r="66" spans="1:14" ht="15.75" customHeight="1" x14ac:dyDescent="0.25">
      <c r="A66" s="41" t="str">
        <f>'X3'!B66</f>
        <v>PTRO</v>
      </c>
      <c r="B66" s="42" t="str">
        <f>'X3'!C66</f>
        <v>PT PETROSEA</v>
      </c>
      <c r="C66" s="43">
        <v>5864</v>
      </c>
      <c r="D66" s="44">
        <f>476441000*O6</f>
        <v>6670650441000</v>
      </c>
      <c r="E66" s="89">
        <f t="shared" si="7"/>
        <v>8.7907469471911425E-10</v>
      </c>
      <c r="F66" s="83">
        <v>1605</v>
      </c>
      <c r="G66" s="44">
        <v>2938</v>
      </c>
      <c r="H66" s="87">
        <f t="shared" si="5"/>
        <v>0.54628999319264804</v>
      </c>
      <c r="I66" s="44">
        <v>0</v>
      </c>
      <c r="J66" s="44">
        <f t="shared" si="6"/>
        <v>6670650441000</v>
      </c>
      <c r="K66" s="97">
        <f t="shared" si="2"/>
        <v>0</v>
      </c>
      <c r="L66" s="44">
        <f>312538000*O6</f>
        <v>4375844538000</v>
      </c>
      <c r="M66" s="44">
        <f>551044000*O6</f>
        <v>7715167044000</v>
      </c>
      <c r="N66" s="135">
        <f t="shared" si="4"/>
        <v>0.56717430912957945</v>
      </c>
    </row>
    <row r="67" spans="1:14" ht="15.75" customHeight="1" x14ac:dyDescent="0.25">
      <c r="A67" s="41" t="str">
        <f>'X3'!B67</f>
        <v>TINS</v>
      </c>
      <c r="B67" s="42" t="str">
        <f>'X3'!C67</f>
        <v>PT TIMAH</v>
      </c>
      <c r="C67" s="43">
        <v>4561</v>
      </c>
      <c r="D67" s="44">
        <v>19302627000000</v>
      </c>
      <c r="E67" s="89">
        <f t="shared" si="7"/>
        <v>2.3628908127375615E-10</v>
      </c>
      <c r="F67" s="83">
        <v>825</v>
      </c>
      <c r="G67" s="44">
        <f>5258215000000/7447753453</f>
        <v>706.01356948543446</v>
      </c>
      <c r="H67" s="87">
        <f t="shared" si="5"/>
        <v>1.168532781319326</v>
      </c>
      <c r="I67" s="44">
        <v>0</v>
      </c>
      <c r="J67" s="44">
        <f t="shared" si="6"/>
        <v>19302627000000</v>
      </c>
      <c r="K67" s="97">
        <f t="shared" si="2"/>
        <v>0</v>
      </c>
      <c r="L67" s="119">
        <v>3601375000000</v>
      </c>
      <c r="M67" s="119">
        <v>20361278000000</v>
      </c>
      <c r="N67" s="135">
        <f t="shared" si="4"/>
        <v>0.17687372079493241</v>
      </c>
    </row>
    <row r="68" spans="1:14" ht="15.75" customHeight="1" x14ac:dyDescent="0.25">
      <c r="A68" s="41" t="str">
        <f>'X3'!B68</f>
        <v>TOBA</v>
      </c>
      <c r="B68" s="42" t="str">
        <f>'X3'!C68</f>
        <v>PT TOBA SEJAHTERA</v>
      </c>
      <c r="C68" s="43">
        <v>589</v>
      </c>
      <c r="D68" s="44">
        <f>525524499*O6</f>
        <v>7357868510499</v>
      </c>
      <c r="E68" s="89">
        <f t="shared" si="7"/>
        <v>8.0050356860760872E-11</v>
      </c>
      <c r="F68" s="83">
        <v>358</v>
      </c>
      <c r="G68" s="44">
        <v>457</v>
      </c>
      <c r="H68" s="87">
        <f t="shared" si="5"/>
        <v>0.78336980306345738</v>
      </c>
      <c r="I68" s="44">
        <v>0</v>
      </c>
      <c r="J68" s="44">
        <f t="shared" si="6"/>
        <v>7357868510499</v>
      </c>
      <c r="K68" s="97">
        <f t="shared" si="2"/>
        <v>0</v>
      </c>
      <c r="L68" s="44">
        <f>37415373*O6</f>
        <v>523852637373</v>
      </c>
      <c r="M68" s="44">
        <f>634640456*O6</f>
        <v>8885601024456</v>
      </c>
      <c r="N68" s="135">
        <f t="shared" si="4"/>
        <v>5.8955228344283177E-2</v>
      </c>
    </row>
    <row r="69" spans="1:14" ht="15.75" customHeight="1" x14ac:dyDescent="0.25">
      <c r="A69" s="41" t="str">
        <f>'X3'!B69</f>
        <v>AMFG</v>
      </c>
      <c r="B69" s="42" t="str">
        <f>'X3'!C69</f>
        <v>PT ASAHIMAS FLAT GLASS</v>
      </c>
      <c r="C69" s="43">
        <v>2697</v>
      </c>
      <c r="D69" s="44">
        <v>4289776000000</v>
      </c>
      <c r="E69" s="89">
        <f t="shared" si="7"/>
        <v>6.2870415611444515E-10</v>
      </c>
      <c r="F69" s="83">
        <v>3430</v>
      </c>
      <c r="G69" s="44">
        <v>7856</v>
      </c>
      <c r="H69" s="87">
        <f t="shared" si="5"/>
        <v>0.43660896130346233</v>
      </c>
      <c r="I69" s="44">
        <v>0</v>
      </c>
      <c r="J69" s="44">
        <f t="shared" si="6"/>
        <v>4289776000000</v>
      </c>
      <c r="K69" s="97">
        <f t="shared" si="2"/>
        <v>0</v>
      </c>
      <c r="L69" s="44">
        <f>5989585000000</f>
        <v>5989585000000</v>
      </c>
      <c r="M69" s="44">
        <f>8738055000000</f>
        <v>8738055000000</v>
      </c>
      <c r="N69" s="135">
        <f t="shared" si="4"/>
        <v>0.68545975048222973</v>
      </c>
    </row>
    <row r="70" spans="1:14" ht="15.75" customHeight="1" x14ac:dyDescent="0.25">
      <c r="A70" s="41" t="str">
        <f>'X3'!B70</f>
        <v>BRPT</v>
      </c>
      <c r="B70" s="42" t="str">
        <f>'X3'!C70</f>
        <v>PT BARITO PACIFIC</v>
      </c>
      <c r="C70" s="43">
        <v>3400</v>
      </c>
      <c r="D70" s="44">
        <f>2402466000*O6</f>
        <v>33636926466000</v>
      </c>
      <c r="E70" s="89">
        <f t="shared" si="7"/>
        <v>1.0107938974260027E-10</v>
      </c>
      <c r="F70" s="83">
        <v>1510</v>
      </c>
      <c r="G70" s="44">
        <v>411</v>
      </c>
      <c r="H70" s="87">
        <f t="shared" si="5"/>
        <v>3.6739659367396595</v>
      </c>
      <c r="I70" s="44">
        <v>0</v>
      </c>
      <c r="J70" s="44">
        <f t="shared" si="6"/>
        <v>33636926466000</v>
      </c>
      <c r="K70" s="97">
        <f t="shared" si="2"/>
        <v>0</v>
      </c>
      <c r="L70" s="44">
        <f>2584943000*O6</f>
        <v>36191786943000</v>
      </c>
      <c r="M70" s="44">
        <f>7182435000*O6</f>
        <v>100561272435000</v>
      </c>
      <c r="N70" s="135">
        <f t="shared" si="4"/>
        <v>0.35989786193679441</v>
      </c>
    </row>
    <row r="71" spans="1:14" ht="15.75" customHeight="1" x14ac:dyDescent="0.25">
      <c r="A71" s="41" t="str">
        <f>'X3'!B71</f>
        <v>CPIN</v>
      </c>
      <c r="B71" s="42" t="e">
        <f>'X3'!#REF!</f>
        <v>#REF!</v>
      </c>
      <c r="C71" s="43">
        <v>7043</v>
      </c>
      <c r="D71" s="44">
        <v>58634502000000</v>
      </c>
      <c r="E71" s="89">
        <f t="shared" si="7"/>
        <v>1.2011699186939458E-10</v>
      </c>
      <c r="F71" s="83">
        <v>6500</v>
      </c>
      <c r="G71" s="44">
        <v>1285</v>
      </c>
      <c r="H71" s="87">
        <f t="shared" si="5"/>
        <v>5.0583657587548636</v>
      </c>
      <c r="I71" s="44">
        <v>108202000000</v>
      </c>
      <c r="J71" s="44">
        <f t="shared" si="6"/>
        <v>58634502000000</v>
      </c>
      <c r="K71" s="97">
        <f t="shared" si="2"/>
        <v>1.845364014518278E-3</v>
      </c>
      <c r="L71" s="44">
        <v>13521979000000</v>
      </c>
      <c r="M71" s="44">
        <v>29353041000000</v>
      </c>
      <c r="N71" s="135">
        <f t="shared" si="4"/>
        <v>0.4606670566092283</v>
      </c>
    </row>
    <row r="72" spans="1:14" ht="15.75" customHeight="1" x14ac:dyDescent="0.25">
      <c r="A72" s="41" t="str">
        <f>'X3'!B72</f>
        <v>CPRO</v>
      </c>
      <c r="B72" s="49" t="str">
        <f>'X3'!C72</f>
        <v>PT CENTRAL PROTEINA PRIMA</v>
      </c>
      <c r="C72" s="43">
        <v>1818</v>
      </c>
      <c r="D72" s="44">
        <v>7175764000000</v>
      </c>
      <c r="E72" s="89">
        <f t="shared" si="7"/>
        <v>2.5335281372129855E-10</v>
      </c>
      <c r="F72" s="83">
        <v>50</v>
      </c>
      <c r="G72" s="44">
        <v>5</v>
      </c>
      <c r="H72" s="87">
        <f t="shared" si="5"/>
        <v>10</v>
      </c>
      <c r="I72" s="44">
        <v>27674000000</v>
      </c>
      <c r="J72" s="44">
        <f t="shared" si="6"/>
        <v>7175764000000</v>
      </c>
      <c r="K72" s="97">
        <f t="shared" si="2"/>
        <v>3.8565928310908774E-3</v>
      </c>
      <c r="L72" s="44">
        <v>4052936000000</v>
      </c>
      <c r="M72" s="44">
        <v>6000259000000</v>
      </c>
      <c r="N72" s="135">
        <f t="shared" si="4"/>
        <v>0.67546017596907071</v>
      </c>
    </row>
    <row r="73" spans="1:14" ht="30" x14ac:dyDescent="0.25">
      <c r="A73" s="41" t="str">
        <f>'X3'!B73</f>
        <v>CTBN</v>
      </c>
      <c r="B73" s="49" t="str">
        <f>'X3'!C71</f>
        <v>PT CHAROEN POKPHAND INDONESIA</v>
      </c>
      <c r="C73" s="43">
        <v>816</v>
      </c>
      <c r="D73" s="44">
        <f>143559113*O6</f>
        <v>2009971141113</v>
      </c>
      <c r="E73" s="89">
        <f t="shared" si="7"/>
        <v>4.0597597811685433E-10</v>
      </c>
      <c r="F73" s="83">
        <v>3150</v>
      </c>
      <c r="G73" s="44">
        <v>1767</v>
      </c>
      <c r="H73" s="87">
        <f t="shared" si="5"/>
        <v>1.7826825127334465</v>
      </c>
      <c r="I73" s="44">
        <v>0</v>
      </c>
      <c r="J73" s="44">
        <f t="shared" si="6"/>
        <v>2009971141113</v>
      </c>
      <c r="K73" s="152">
        <f t="shared" si="2"/>
        <v>0</v>
      </c>
      <c r="L73" s="44">
        <f>44437209*O6</f>
        <v>622165363209</v>
      </c>
      <c r="M73" s="44">
        <f>172321876*O6</f>
        <v>2412678585876</v>
      </c>
      <c r="N73" s="135">
        <f t="shared" si="4"/>
        <v>0.25787328940174725</v>
      </c>
    </row>
    <row r="74" spans="1:14" ht="15.75" customHeight="1" x14ac:dyDescent="0.25">
      <c r="A74" s="41" t="str">
        <f>'X3'!B74</f>
        <v>EKAD</v>
      </c>
      <c r="B74" s="49" t="str">
        <f>'X3'!C74</f>
        <v xml:space="preserve">EKADHARMA INTERNATIONAL </v>
      </c>
      <c r="C74" s="43">
        <v>514</v>
      </c>
      <c r="D74" s="44">
        <v>758299364555</v>
      </c>
      <c r="E74" s="89">
        <f t="shared" si="7"/>
        <v>6.7783256062944945E-10</v>
      </c>
      <c r="F74" s="83">
        <v>1070</v>
      </c>
      <c r="G74" s="44">
        <v>1220</v>
      </c>
      <c r="H74" s="87">
        <f t="shared" si="5"/>
        <v>0.87704918032786883</v>
      </c>
      <c r="I74" s="44">
        <v>0</v>
      </c>
      <c r="J74" s="44">
        <f t="shared" si="6"/>
        <v>758299364555</v>
      </c>
      <c r="K74" s="152">
        <f t="shared" ref="K74:K142" si="8">I74/J74</f>
        <v>0</v>
      </c>
      <c r="L74" s="44">
        <v>455499161587</v>
      </c>
      <c r="M74" s="44">
        <v>968234349565</v>
      </c>
      <c r="N74" s="135">
        <f t="shared" si="4"/>
        <v>0.47044309241005833</v>
      </c>
    </row>
    <row r="75" spans="1:14" ht="15.75" customHeight="1" x14ac:dyDescent="0.25">
      <c r="A75" s="41" t="str">
        <f>'X3'!B75</f>
        <v>FASW</v>
      </c>
      <c r="B75" s="41" t="str">
        <f>'X3'!C75</f>
        <v>PT FAJAR SURYA WISESA</v>
      </c>
      <c r="C75" s="43">
        <v>3409</v>
      </c>
      <c r="D75" s="44">
        <v>8268503880196</v>
      </c>
      <c r="E75" s="89">
        <f t="shared" si="7"/>
        <v>4.122874040326618E-10</v>
      </c>
      <c r="F75" s="83">
        <v>7700</v>
      </c>
      <c r="G75" s="44">
        <v>1893</v>
      </c>
      <c r="H75" s="87">
        <f t="shared" si="5"/>
        <v>4.0676175382989959</v>
      </c>
      <c r="I75" s="44">
        <v>0</v>
      </c>
      <c r="J75" s="44">
        <f t="shared" si="6"/>
        <v>8268503880196</v>
      </c>
      <c r="K75" s="152">
        <f t="shared" si="8"/>
        <v>0</v>
      </c>
      <c r="L75" s="44">
        <v>7847119795753</v>
      </c>
      <c r="M75" s="44">
        <v>10751992944302</v>
      </c>
      <c r="N75" s="135">
        <f t="shared" si="4"/>
        <v>0.72982932898143016</v>
      </c>
    </row>
    <row r="76" spans="1:14" ht="15.75" customHeight="1" x14ac:dyDescent="0.25">
      <c r="A76" s="41" t="str">
        <f>'X3'!B76</f>
        <v>INKP</v>
      </c>
      <c r="B76" s="41" t="str">
        <f>'X3'!C76</f>
        <v>PT INDAH KIAT PULP &amp; PAPER</v>
      </c>
      <c r="C76" s="43">
        <v>12000</v>
      </c>
      <c r="D76" s="44">
        <f>3223153000*O6</f>
        <v>45127365153000</v>
      </c>
      <c r="E76" s="89">
        <f t="shared" si="7"/>
        <v>2.6591404039024109E-10</v>
      </c>
      <c r="F76" s="83">
        <v>7700</v>
      </c>
      <c r="G76" s="44">
        <v>10210</v>
      </c>
      <c r="H76" s="87">
        <f t="shared" si="5"/>
        <v>0.75416258570029382</v>
      </c>
      <c r="I76" s="44">
        <v>0</v>
      </c>
      <c r="J76" s="44">
        <f t="shared" si="6"/>
        <v>45127365153000</v>
      </c>
      <c r="K76" s="152">
        <f t="shared" si="8"/>
        <v>0</v>
      </c>
      <c r="L76" s="44">
        <f>3654414000*O6</f>
        <v>51165450414000</v>
      </c>
      <c r="M76" s="44">
        <f>8502050000*O6</f>
        <v>119037202050000</v>
      </c>
      <c r="N76" s="135">
        <f t="shared" si="4"/>
        <v>0.429827394569545</v>
      </c>
    </row>
    <row r="77" spans="1:14" ht="15.75" customHeight="1" x14ac:dyDescent="0.25">
      <c r="A77" s="41" t="str">
        <f>'X3'!B77</f>
        <v>INTP</v>
      </c>
      <c r="B77" s="41" t="str">
        <f>'X3'!C77</f>
        <v>PT INDOCEMENT TUNGGAL PRAKARSA</v>
      </c>
      <c r="C77" s="43">
        <v>5246</v>
      </c>
      <c r="D77" s="44">
        <v>15939348000000</v>
      </c>
      <c r="E77" s="89">
        <f t="shared" si="7"/>
        <v>3.2912262157774583E-10</v>
      </c>
      <c r="F77" s="83">
        <v>19025</v>
      </c>
      <c r="G77" s="44">
        <v>6269</v>
      </c>
      <c r="H77" s="87">
        <f t="shared" si="5"/>
        <v>3.0347742861700429</v>
      </c>
      <c r="I77" s="44">
        <v>100629000000</v>
      </c>
      <c r="J77" s="44">
        <f t="shared" si="6"/>
        <v>15939348000000</v>
      </c>
      <c r="K77" s="152">
        <f t="shared" si="8"/>
        <v>6.3132444313280566E-3</v>
      </c>
      <c r="L77" s="44">
        <v>14080158000000</v>
      </c>
      <c r="M77" s="44">
        <v>27707749000000</v>
      </c>
      <c r="N77" s="135">
        <f t="shared" ref="N77:N110" si="9">L77/M77</f>
        <v>0.50816679478365423</v>
      </c>
    </row>
    <row r="78" spans="1:14" ht="15.75" customHeight="1" x14ac:dyDescent="0.25">
      <c r="A78" s="41" t="str">
        <f>'X3'!B78</f>
        <v>IPOL</v>
      </c>
      <c r="B78" s="41" t="str">
        <f>'X3'!C78</f>
        <v>PT INDOPOLY SWAKARSA INDUSTRY</v>
      </c>
      <c r="C78" s="43">
        <v>1217</v>
      </c>
      <c r="D78" s="44">
        <f>203257618*O6</f>
        <v>2845809909618</v>
      </c>
      <c r="E78" s="89">
        <f t="shared" si="7"/>
        <v>4.2764627246777734E-10</v>
      </c>
      <c r="F78" s="83">
        <v>93</v>
      </c>
      <c r="G78" s="44">
        <v>353</v>
      </c>
      <c r="H78" s="87">
        <f t="shared" si="5"/>
        <v>0.26345609065155806</v>
      </c>
      <c r="I78" s="44">
        <f>1392430*O6</f>
        <v>19495412430</v>
      </c>
      <c r="J78" s="44">
        <f t="shared" si="6"/>
        <v>2845809909618</v>
      </c>
      <c r="K78" s="152">
        <f t="shared" si="8"/>
        <v>6.850567342573108E-3</v>
      </c>
      <c r="L78" s="44">
        <f>169970444*O6</f>
        <v>2379756186444</v>
      </c>
      <c r="M78" s="44">
        <f>277540954*O6</f>
        <v>3885850896954</v>
      </c>
      <c r="N78" s="135">
        <f t="shared" si="9"/>
        <v>0.61241572297831048</v>
      </c>
    </row>
    <row r="79" spans="1:14" ht="15.75" customHeight="1" x14ac:dyDescent="0.25">
      <c r="A79" s="41" t="str">
        <f>'X3'!B79</f>
        <v>JAPFA</v>
      </c>
      <c r="B79" s="41" t="str">
        <f>'X3'!C79</f>
        <v>PT JAPFA COMFEED INDONESIA</v>
      </c>
      <c r="C79" s="43">
        <v>27972</v>
      </c>
      <c r="D79" s="44">
        <v>36742561000000</v>
      </c>
      <c r="E79" s="89">
        <f t="shared" si="7"/>
        <v>7.6129696022005656E-10</v>
      </c>
      <c r="F79" s="83">
        <v>1535</v>
      </c>
      <c r="G79" s="44">
        <v>976</v>
      </c>
      <c r="H79" s="87">
        <f t="shared" si="5"/>
        <v>1.5727459016393444</v>
      </c>
      <c r="I79" s="44">
        <v>16708000000</v>
      </c>
      <c r="J79" s="44">
        <f t="shared" si="6"/>
        <v>36742561000000</v>
      </c>
      <c r="K79" s="152">
        <f t="shared" si="8"/>
        <v>4.5473150333750551E-4</v>
      </c>
      <c r="L79" s="44">
        <v>10062592000000</v>
      </c>
      <c r="M79" s="44">
        <v>25185009000000</v>
      </c>
      <c r="N79" s="135">
        <f t="shared" si="9"/>
        <v>0.3995468891831645</v>
      </c>
    </row>
    <row r="80" spans="1:14" ht="15.75" customHeight="1" x14ac:dyDescent="0.25">
      <c r="A80" s="41" t="str">
        <f>'X3'!B80</f>
        <v>LION</v>
      </c>
      <c r="B80" s="41" t="str">
        <f>'X3'!C80</f>
        <v>PT LION METAL WORKS</v>
      </c>
      <c r="C80" s="43">
        <v>1133</v>
      </c>
      <c r="D80" s="44">
        <v>372489022928</v>
      </c>
      <c r="E80" s="89">
        <f t="shared" si="7"/>
        <v>3.0417003730577113E-9</v>
      </c>
      <c r="F80" s="83">
        <v>468</v>
      </c>
      <c r="G80" s="44">
        <v>901</v>
      </c>
      <c r="H80" s="87">
        <f t="shared" si="5"/>
        <v>0.51942286348501665</v>
      </c>
      <c r="I80" s="44">
        <v>106875345</v>
      </c>
      <c r="J80" s="44">
        <f t="shared" si="6"/>
        <v>372489022928</v>
      </c>
      <c r="K80" s="152">
        <f t="shared" si="8"/>
        <v>2.8692213306016911E-4</v>
      </c>
      <c r="L80" s="44">
        <v>78832191819</v>
      </c>
      <c r="M80" s="44">
        <v>688017892312</v>
      </c>
      <c r="N80" s="135">
        <f t="shared" si="9"/>
        <v>0.11457869439135378</v>
      </c>
    </row>
    <row r="81" spans="1:14" ht="15.75" customHeight="1" x14ac:dyDescent="0.25">
      <c r="A81" s="41" t="str">
        <f>'X3'!B81</f>
        <v>MAIN</v>
      </c>
      <c r="B81" s="41" t="str">
        <f>'X3'!C81</f>
        <v>PT MALINDO FEEDMILL</v>
      </c>
      <c r="C81" s="43">
        <v>3576</v>
      </c>
      <c r="D81" s="44">
        <v>7454920083000</v>
      </c>
      <c r="E81" s="89">
        <f t="shared" si="7"/>
        <v>4.7968321057587381E-10</v>
      </c>
      <c r="F81" s="83">
        <v>1005</v>
      </c>
      <c r="G81" s="44">
        <v>906</v>
      </c>
      <c r="H81" s="87">
        <f t="shared" si="5"/>
        <v>1.1092715231788079</v>
      </c>
      <c r="I81" s="44">
        <v>16996802000</v>
      </c>
      <c r="J81" s="44">
        <f t="shared" si="6"/>
        <v>7454920083000</v>
      </c>
      <c r="K81" s="97">
        <f t="shared" si="8"/>
        <v>2.2799442261975484E-3</v>
      </c>
      <c r="L81" s="44">
        <v>2284212362000</v>
      </c>
      <c r="M81" s="44">
        <v>4648577041000</v>
      </c>
      <c r="N81" s="135">
        <f t="shared" si="9"/>
        <v>0.49137883310386554</v>
      </c>
    </row>
    <row r="82" spans="1:14" ht="15.75" customHeight="1" x14ac:dyDescent="0.25">
      <c r="A82" s="41" t="str">
        <f>'X3'!B82</f>
        <v>MARK</v>
      </c>
      <c r="B82" s="41" t="str">
        <f>'X3'!C82</f>
        <v>PT MARK DYNAMICS INDONESIA</v>
      </c>
      <c r="C82" s="43">
        <v>605</v>
      </c>
      <c r="D82" s="44">
        <v>361544998431</v>
      </c>
      <c r="E82" s="89">
        <f t="shared" si="7"/>
        <v>1.6733739994344378E-9</v>
      </c>
      <c r="F82" s="83">
        <v>452</v>
      </c>
      <c r="G82" s="44">
        <v>78</v>
      </c>
      <c r="H82" s="87">
        <f t="shared" si="5"/>
        <v>5.7948717948717947</v>
      </c>
      <c r="I82" s="44">
        <v>0</v>
      </c>
      <c r="J82" s="44">
        <f t="shared" si="6"/>
        <v>361544998431</v>
      </c>
      <c r="K82" s="97">
        <f t="shared" si="8"/>
        <v>0</v>
      </c>
      <c r="L82" s="44">
        <v>205864426823</v>
      </c>
      <c r="M82" s="44">
        <v>441254067741</v>
      </c>
      <c r="N82" s="135">
        <f t="shared" si="9"/>
        <v>0.46654397516814483</v>
      </c>
    </row>
    <row r="83" spans="1:14" ht="15.75" customHeight="1" x14ac:dyDescent="0.25">
      <c r="A83" s="48" t="str">
        <f>'X3'!B83</f>
        <v>SMCB</v>
      </c>
      <c r="B83" s="48" t="str">
        <f>'X3'!C83</f>
        <v>PT SOLUSI BANGUN INDONESIA</v>
      </c>
      <c r="C83" s="43">
        <v>2426</v>
      </c>
      <c r="D83" s="44">
        <v>11057843000000</v>
      </c>
      <c r="E83" s="89">
        <f t="shared" si="7"/>
        <v>2.1939179277549881E-10</v>
      </c>
      <c r="F83" s="83">
        <v>1180</v>
      </c>
      <c r="G83" s="44">
        <v>911</v>
      </c>
      <c r="H83" s="87">
        <f t="shared" si="5"/>
        <v>1.2952799121844127</v>
      </c>
      <c r="I83" s="44">
        <v>56585000000</v>
      </c>
      <c r="J83" s="44">
        <f t="shared" si="6"/>
        <v>11057843000000</v>
      </c>
      <c r="K83" s="184">
        <f t="shared" si="8"/>
        <v>5.1171824378407251E-3</v>
      </c>
      <c r="L83" s="44">
        <v>15465852000000</v>
      </c>
      <c r="M83" s="44">
        <v>19567498000000</v>
      </c>
      <c r="N83" s="135">
        <f t="shared" si="9"/>
        <v>0.79038474924080737</v>
      </c>
    </row>
    <row r="84" spans="1:14" ht="15.75" customHeight="1" x14ac:dyDescent="0.25">
      <c r="A84" s="48" t="str">
        <f>'X3'!B84</f>
        <v>SGMR</v>
      </c>
      <c r="B84" s="48" t="str">
        <f>'X3'!C84</f>
        <v>PT SEMEN INDONESIA</v>
      </c>
      <c r="C84" s="43">
        <v>11518</v>
      </c>
      <c r="D84" s="44">
        <v>40368107000000</v>
      </c>
      <c r="E84" s="89">
        <f t="shared" si="7"/>
        <v>2.8532425362427822E-10</v>
      </c>
      <c r="F84" s="83">
        <v>12000</v>
      </c>
      <c r="G84" s="44">
        <v>5713</v>
      </c>
      <c r="H84" s="87">
        <f t="shared" si="5"/>
        <v>2.1004726063364259</v>
      </c>
      <c r="I84" s="44">
        <v>191043000000</v>
      </c>
      <c r="J84" s="44">
        <f t="shared" si="6"/>
        <v>40368107000000</v>
      </c>
      <c r="K84" s="184">
        <f t="shared" si="8"/>
        <v>4.7325231277255582E-3</v>
      </c>
      <c r="L84" s="44">
        <v>56601702000000</v>
      </c>
      <c r="M84" s="44">
        <v>79807067000000</v>
      </c>
      <c r="N84" s="135">
        <f t="shared" si="9"/>
        <v>0.7092317025007322</v>
      </c>
    </row>
    <row r="85" spans="1:14" ht="15.75" customHeight="1" x14ac:dyDescent="0.25">
      <c r="A85" s="48" t="str">
        <f>'X3'!B85</f>
        <v>TRST</v>
      </c>
      <c r="B85" s="48" t="str">
        <f>'X3'!C85</f>
        <v>PT TRIAS SENTOSA</v>
      </c>
      <c r="C85" s="43">
        <v>1145</v>
      </c>
      <c r="D85" s="44">
        <v>2566094747992</v>
      </c>
      <c r="E85" s="89">
        <f t="shared" si="7"/>
        <v>4.4620332156323386E-10</v>
      </c>
      <c r="F85" s="83">
        <v>380</v>
      </c>
      <c r="G85" s="44">
        <v>774</v>
      </c>
      <c r="H85" s="87">
        <f t="shared" si="5"/>
        <v>0.49095607235142119</v>
      </c>
      <c r="I85" s="44">
        <v>6179070380</v>
      </c>
      <c r="J85" s="44">
        <f t="shared" si="6"/>
        <v>2566094747992</v>
      </c>
      <c r="K85" s="184">
        <f t="shared" si="8"/>
        <v>2.4079665744358024E-3</v>
      </c>
      <c r="L85" s="44">
        <v>2720377238742</v>
      </c>
      <c r="M85" s="44">
        <v>4349022887699</v>
      </c>
      <c r="N85" s="135">
        <f t="shared" si="9"/>
        <v>0.62551458315762254</v>
      </c>
    </row>
    <row r="86" spans="1:14" ht="15.75" customHeight="1" x14ac:dyDescent="0.25">
      <c r="A86" s="48" t="str">
        <f>'X3'!B86</f>
        <v>UNIC</v>
      </c>
      <c r="B86" s="48" t="str">
        <f>'X3'!C86</f>
        <v>PT UNGGUL INDAH CAHAYA</v>
      </c>
      <c r="C86" s="43">
        <v>648</v>
      </c>
      <c r="D86" s="44">
        <f>322098564*O6</f>
        <v>4509701994564</v>
      </c>
      <c r="E86" s="89">
        <f t="shared" si="7"/>
        <v>1.4369020409355207E-10</v>
      </c>
      <c r="F86" s="83">
        <v>3850</v>
      </c>
      <c r="G86" s="44">
        <v>6410</v>
      </c>
      <c r="H86" s="87">
        <f t="shared" si="5"/>
        <v>0.60062402496099843</v>
      </c>
      <c r="I86" s="44">
        <v>0</v>
      </c>
      <c r="J86" s="44">
        <f t="shared" si="6"/>
        <v>4509701994564</v>
      </c>
      <c r="K86" s="184">
        <f t="shared" si="8"/>
        <v>0</v>
      </c>
      <c r="L86" s="44">
        <f>25557199*O6</f>
        <v>357826343199</v>
      </c>
      <c r="M86" s="44">
        <f>219757421*O6</f>
        <v>3076823651421</v>
      </c>
      <c r="N86" s="135">
        <f t="shared" si="9"/>
        <v>0.11629731948847361</v>
      </c>
    </row>
    <row r="87" spans="1:14" ht="15.75" customHeight="1" x14ac:dyDescent="0.25">
      <c r="A87" s="48" t="str">
        <f>'X3'!B87</f>
        <v>ASII</v>
      </c>
      <c r="B87" s="48" t="str">
        <f>'X3'!C87</f>
        <v>PT ASTRA INTERNATIONAL</v>
      </c>
      <c r="C87" s="43">
        <v>226105</v>
      </c>
      <c r="D87" s="44">
        <v>237166000000000</v>
      </c>
      <c r="E87" s="89">
        <f t="shared" si="7"/>
        <v>9.5336178035637482E-10</v>
      </c>
      <c r="F87" s="83">
        <v>6600</v>
      </c>
      <c r="G87" s="44">
        <v>4466</v>
      </c>
      <c r="H87" s="87">
        <f t="shared" si="5"/>
        <v>1.4778325123152709</v>
      </c>
      <c r="I87" s="44">
        <v>336000000000</v>
      </c>
      <c r="J87" s="44">
        <f t="shared" si="6"/>
        <v>237166000000000</v>
      </c>
      <c r="K87" s="184">
        <f t="shared" si="8"/>
        <v>1.4167292107637689E-3</v>
      </c>
      <c r="L87" s="44">
        <v>62337000000000</v>
      </c>
      <c r="M87" s="44">
        <v>351958000000000</v>
      </c>
      <c r="N87" s="135">
        <f t="shared" si="9"/>
        <v>0.17711488302581557</v>
      </c>
    </row>
    <row r="88" spans="1:14" ht="15.75" customHeight="1" x14ac:dyDescent="0.25">
      <c r="A88" s="48" t="str">
        <f>'X3'!B88</f>
        <v>AUTO</v>
      </c>
      <c r="B88" s="48" t="str">
        <f>'X3'!C88</f>
        <v>PT ASTRA OTOPARTS</v>
      </c>
      <c r="C88" s="43">
        <v>9905</v>
      </c>
      <c r="D88" s="44">
        <v>15444775000000</v>
      </c>
      <c r="E88" s="89">
        <f t="shared" si="7"/>
        <v>6.4131720921800412E-10</v>
      </c>
      <c r="F88" s="83">
        <v>1240</v>
      </c>
      <c r="G88" s="44">
        <v>2417</v>
      </c>
      <c r="H88" s="87">
        <f t="shared" si="5"/>
        <v>0.51303268514687628</v>
      </c>
      <c r="I88" s="44">
        <v>78043000000</v>
      </c>
      <c r="J88" s="44">
        <f t="shared" si="6"/>
        <v>15444775000000</v>
      </c>
      <c r="K88" s="184">
        <f t="shared" si="8"/>
        <v>5.0530357353862389E-3</v>
      </c>
      <c r="L88" s="44">
        <v>3513176000000</v>
      </c>
      <c r="M88" s="44">
        <v>16015709000000</v>
      </c>
      <c r="N88" s="135">
        <f t="shared" si="9"/>
        <v>0.21935813144457109</v>
      </c>
    </row>
    <row r="89" spans="1:14" ht="15.75" customHeight="1" x14ac:dyDescent="0.25">
      <c r="A89" s="48" t="str">
        <f>'X3'!B89</f>
        <v>BATA</v>
      </c>
      <c r="B89" s="48" t="str">
        <f>'X3'!C89</f>
        <v>PT SEPATU BATA</v>
      </c>
      <c r="C89" s="43">
        <v>564</v>
      </c>
      <c r="D89" s="44">
        <v>931271436000</v>
      </c>
      <c r="E89" s="89">
        <f t="shared" si="7"/>
        <v>6.0562364333055734E-10</v>
      </c>
      <c r="F89" s="83">
        <v>660</v>
      </c>
      <c r="G89" s="44">
        <v>502</v>
      </c>
      <c r="H89" s="87">
        <f t="shared" si="5"/>
        <v>1.3147410358565736</v>
      </c>
      <c r="I89" s="44">
        <v>12323281000</v>
      </c>
      <c r="J89" s="44">
        <f t="shared" si="6"/>
        <v>931271436000</v>
      </c>
      <c r="K89" s="184">
        <f t="shared" si="8"/>
        <v>1.3232748824479139E-2</v>
      </c>
      <c r="L89" s="44">
        <v>244793436000</v>
      </c>
      <c r="M89" s="44">
        <v>863146554000</v>
      </c>
      <c r="N89" s="135">
        <f t="shared" si="9"/>
        <v>0.28360587766420026</v>
      </c>
    </row>
    <row r="90" spans="1:14" ht="15.75" customHeight="1" x14ac:dyDescent="0.25">
      <c r="A90" s="48" t="str">
        <f>'X3'!B90</f>
        <v>BRAM</v>
      </c>
      <c r="B90" s="48" t="str">
        <f>'X3'!C90</f>
        <v>PT INDO KORDSA</v>
      </c>
      <c r="C90" s="43">
        <v>1448</v>
      </c>
      <c r="D90" s="44">
        <f>245619303*O6</f>
        <v>3438915861303</v>
      </c>
      <c r="E90" s="89">
        <f t="shared" si="7"/>
        <v>4.2106293331973379E-10</v>
      </c>
      <c r="F90" s="83">
        <v>10800</v>
      </c>
      <c r="G90" s="44">
        <v>6838</v>
      </c>
      <c r="H90" s="87">
        <f t="shared" si="5"/>
        <v>1.5794091839719215</v>
      </c>
      <c r="I90" s="44">
        <v>0</v>
      </c>
      <c r="J90" s="44">
        <f t="shared" si="6"/>
        <v>3438915861303</v>
      </c>
      <c r="K90" s="189">
        <f t="shared" si="8"/>
        <v>0</v>
      </c>
      <c r="L90" s="44">
        <f>155062397*O6</f>
        <v>2171028620397</v>
      </c>
      <c r="M90" s="44">
        <f>279484828*O6</f>
        <v>3913067076828</v>
      </c>
      <c r="N90" s="135">
        <f t="shared" si="9"/>
        <v>0.55481507926433848</v>
      </c>
    </row>
    <row r="91" spans="1:14" ht="15.75" customHeight="1" x14ac:dyDescent="0.25">
      <c r="A91" s="48" t="str">
        <f>'X3'!B91</f>
        <v>GDYR</v>
      </c>
      <c r="B91" s="48" t="str">
        <f>'X3'!C91</f>
        <v>PT GOODYEAR INDONESIA</v>
      </c>
      <c r="C91" s="43">
        <v>913</v>
      </c>
      <c r="D91" s="44">
        <f>139315838*O6</f>
        <v>1950561047838</v>
      </c>
      <c r="E91" s="89">
        <f t="shared" si="7"/>
        <v>4.6807045645250029E-10</v>
      </c>
      <c r="F91" s="83">
        <v>2000</v>
      </c>
      <c r="G91" s="44">
        <v>1812</v>
      </c>
      <c r="H91" s="87">
        <f t="shared" si="5"/>
        <v>1.1037527593818985</v>
      </c>
      <c r="I91" s="44">
        <f>594197*O6</f>
        <v>8319352197</v>
      </c>
      <c r="J91" s="44">
        <f t="shared" si="6"/>
        <v>1950561047838</v>
      </c>
      <c r="K91" s="189">
        <f t="shared" si="8"/>
        <v>4.2651073168005491E-3</v>
      </c>
      <c r="L91" s="44">
        <f>64540436*O6</f>
        <v>903630644436</v>
      </c>
      <c r="M91" s="44">
        <f>121292355*O6</f>
        <v>1698214262355</v>
      </c>
      <c r="N91" s="135">
        <f t="shared" si="9"/>
        <v>0.53210638048869607</v>
      </c>
    </row>
    <row r="92" spans="1:14" ht="15.75" customHeight="1" x14ac:dyDescent="0.25">
      <c r="A92" s="48" t="str">
        <f>'X3'!B92</f>
        <v>GJTL</v>
      </c>
      <c r="B92" s="48" t="str">
        <f>'X3'!C92</f>
        <v>PT GAJAH TUNGGAL</v>
      </c>
      <c r="C92" s="43">
        <v>18217</v>
      </c>
      <c r="D92" s="44">
        <v>15939421000000</v>
      </c>
      <c r="E92" s="89">
        <f t="shared" si="7"/>
        <v>1.1428896946758605E-9</v>
      </c>
      <c r="F92" s="83">
        <v>585</v>
      </c>
      <c r="G92" s="44">
        <v>1789</v>
      </c>
      <c r="H92" s="87">
        <f t="shared" si="5"/>
        <v>0.32699832308552262</v>
      </c>
      <c r="I92" s="44">
        <v>59684000000</v>
      </c>
      <c r="J92" s="44">
        <f t="shared" si="6"/>
        <v>15939421000000</v>
      </c>
      <c r="K92" s="189">
        <f t="shared" si="8"/>
        <v>3.7444271030923895E-3</v>
      </c>
      <c r="L92" s="44">
        <v>9196846000000</v>
      </c>
      <c r="M92" s="44">
        <v>18856075000000</v>
      </c>
      <c r="N92" s="135">
        <f t="shared" si="9"/>
        <v>0.48773915037991733</v>
      </c>
    </row>
    <row r="93" spans="1:14" ht="15.75" customHeight="1" x14ac:dyDescent="0.25">
      <c r="A93" s="48" t="str">
        <f>'X3'!B93</f>
        <v>GMFI</v>
      </c>
      <c r="B93" s="48" t="str">
        <f>'X3'!C93</f>
        <v>PT GARUDA MAINTENANCE FACILITY AERO ASIA</v>
      </c>
      <c r="C93" s="43">
        <v>4975</v>
      </c>
      <c r="D93" s="44">
        <f>519484485*O6</f>
        <v>7273302274485</v>
      </c>
      <c r="E93" s="89">
        <f t="shared" si="7"/>
        <v>6.8400842041894433E-10</v>
      </c>
      <c r="F93" s="83">
        <v>172</v>
      </c>
      <c r="G93" s="44">
        <v>131</v>
      </c>
      <c r="H93" s="87">
        <f t="shared" si="5"/>
        <v>1.3129770992366412</v>
      </c>
      <c r="I93" s="44">
        <v>0</v>
      </c>
      <c r="J93" s="44">
        <f t="shared" si="6"/>
        <v>7273302274485</v>
      </c>
      <c r="K93" s="189">
        <f t="shared" si="8"/>
        <v>0</v>
      </c>
      <c r="L93" s="44">
        <f>181806882*O6</f>
        <v>2545478154882</v>
      </c>
      <c r="M93" s="44">
        <f>756390458*O6</f>
        <v>10590222802458</v>
      </c>
      <c r="N93" s="135">
        <f t="shared" si="9"/>
        <v>0.24036115220268947</v>
      </c>
    </row>
    <row r="94" spans="1:14" ht="15.75" customHeight="1" x14ac:dyDescent="0.25">
      <c r="A94" s="48" t="str">
        <f>'X3'!B94</f>
        <v>HDTX</v>
      </c>
      <c r="B94" s="48" t="str">
        <f>'X3'!C94</f>
        <v>PT PANASIA INDO RESOURCES</v>
      </c>
      <c r="C94" s="43">
        <f>251+28</f>
        <v>279</v>
      </c>
      <c r="D94" s="44">
        <f>8369686000</f>
        <v>8369686000</v>
      </c>
      <c r="E94" s="89">
        <f t="shared" si="7"/>
        <v>3.3334583878057074E-8</v>
      </c>
      <c r="F94" s="83">
        <v>120</v>
      </c>
      <c r="G94" s="44">
        <v>19</v>
      </c>
      <c r="H94" s="87">
        <f t="shared" si="5"/>
        <v>6.3157894736842106</v>
      </c>
      <c r="I94" s="44">
        <f>39182000</f>
        <v>39182000</v>
      </c>
      <c r="J94" s="44">
        <f t="shared" si="6"/>
        <v>8369686000</v>
      </c>
      <c r="K94" s="189">
        <f t="shared" si="8"/>
        <v>4.6814181559499367E-3</v>
      </c>
      <c r="L94" s="44">
        <f>377475938000</f>
        <v>377475938000</v>
      </c>
      <c r="M94" s="44">
        <f>423791061000</f>
        <v>423791061000</v>
      </c>
      <c r="N94" s="135">
        <f t="shared" si="9"/>
        <v>0.8907123645064331</v>
      </c>
    </row>
    <row r="95" spans="1:14" ht="15.75" customHeight="1" x14ac:dyDescent="0.25">
      <c r="A95" s="48" t="str">
        <f>'X3'!B95</f>
        <v>IMAS</v>
      </c>
      <c r="B95" s="48" t="str">
        <f>'X3'!C95</f>
        <v>PT INDOMOBIL SUKSES INTERNATIONAL</v>
      </c>
      <c r="C95" s="43">
        <v>7345</v>
      </c>
      <c r="D95" s="44">
        <v>18615129696492</v>
      </c>
      <c r="E95" s="89">
        <f t="shared" si="7"/>
        <v>3.9457151896095342E-10</v>
      </c>
      <c r="F95" s="83">
        <v>1155</v>
      </c>
      <c r="G95" s="44">
        <v>2355</v>
      </c>
      <c r="H95" s="87">
        <f t="shared" si="5"/>
        <v>0.49044585987261147</v>
      </c>
      <c r="I95" s="44">
        <v>123921083173</v>
      </c>
      <c r="J95" s="44">
        <f t="shared" si="6"/>
        <v>18615129696492</v>
      </c>
      <c r="K95" s="189">
        <f t="shared" si="8"/>
        <v>6.6570088521248818E-3</v>
      </c>
      <c r="L95" s="44">
        <v>11271561957589</v>
      </c>
      <c r="M95" s="44">
        <v>44698662588632</v>
      </c>
      <c r="N95" s="135">
        <f t="shared" si="9"/>
        <v>0.25216776755319842</v>
      </c>
    </row>
    <row r="96" spans="1:14" ht="15.75" customHeight="1" x14ac:dyDescent="0.25">
      <c r="A96" s="48" t="str">
        <f>'X3'!B96</f>
        <v>INDR</v>
      </c>
      <c r="B96" s="48" t="str">
        <f>'X3'!C96</f>
        <v>PT INDO-RAMA SYNTHETICS</v>
      </c>
      <c r="C96" s="43">
        <v>7481</v>
      </c>
      <c r="D96" s="44">
        <f>767749494*O6</f>
        <v>10749260665494</v>
      </c>
      <c r="E96" s="89">
        <f t="shared" si="7"/>
        <v>6.9595484124918636E-10</v>
      </c>
      <c r="F96" s="83">
        <v>2430</v>
      </c>
      <c r="G96" s="44">
        <v>7915</v>
      </c>
      <c r="H96" s="87">
        <f t="shared" si="5"/>
        <v>0.30701200252684774</v>
      </c>
      <c r="I96" s="44">
        <v>0</v>
      </c>
      <c r="J96" s="44">
        <f t="shared" si="6"/>
        <v>10749260665494</v>
      </c>
      <c r="K96" s="189">
        <f t="shared" si="8"/>
        <v>0</v>
      </c>
      <c r="L96" s="44">
        <f>479035606*O6</f>
        <v>6706977519606</v>
      </c>
      <c r="M96" s="44">
        <f>753558270*O6</f>
        <v>10550569338270</v>
      </c>
      <c r="N96" s="135">
        <f t="shared" si="9"/>
        <v>0.63569816040901517</v>
      </c>
    </row>
    <row r="97" spans="1:14" ht="15.75" customHeight="1" x14ac:dyDescent="0.25">
      <c r="A97" s="48" t="str">
        <f>'X3'!B97</f>
        <v>KBLI</v>
      </c>
      <c r="B97" s="48" t="str">
        <f>'X3'!C97</f>
        <v>PT KMI Wire and Cable</v>
      </c>
      <c r="C97" s="43">
        <v>1231</v>
      </c>
      <c r="D97" s="44">
        <v>4500555248155</v>
      </c>
      <c r="E97" s="89">
        <f t="shared" si="7"/>
        <v>2.7352180611595596E-10</v>
      </c>
      <c r="F97" s="83">
        <v>525</v>
      </c>
      <c r="G97" s="44">
        <v>594</v>
      </c>
      <c r="H97" s="87">
        <f t="shared" si="5"/>
        <v>0.88383838383838387</v>
      </c>
      <c r="I97" s="44">
        <v>1693172463</v>
      </c>
      <c r="J97" s="44">
        <f t="shared" si="6"/>
        <v>4500555248155</v>
      </c>
      <c r="K97" s="189">
        <f t="shared" si="8"/>
        <v>3.7621412684448548E-4</v>
      </c>
      <c r="L97" s="44">
        <v>877991133095</v>
      </c>
      <c r="M97" s="44">
        <v>3556474711037</v>
      </c>
      <c r="N97" s="135">
        <f t="shared" si="9"/>
        <v>0.24687118690041088</v>
      </c>
    </row>
    <row r="98" spans="1:14" ht="15.75" customHeight="1" x14ac:dyDescent="0.25">
      <c r="A98" s="48" t="str">
        <f>'X3'!B98</f>
        <v>MASA</v>
      </c>
      <c r="B98" s="49"/>
      <c r="C98" s="43">
        <v>3354</v>
      </c>
      <c r="D98" s="44">
        <f>318263297*O6</f>
        <v>4456004421297</v>
      </c>
      <c r="E98" s="89">
        <f t="shared" si="7"/>
        <v>7.5269225137432833E-10</v>
      </c>
      <c r="F98" s="83">
        <v>460</v>
      </c>
      <c r="G98" s="44">
        <v>296</v>
      </c>
      <c r="H98" s="87">
        <f t="shared" si="5"/>
        <v>1.5540540540540539</v>
      </c>
      <c r="I98" s="44">
        <f>3620467*O6</f>
        <v>50690158467</v>
      </c>
      <c r="J98" s="44">
        <f t="shared" si="6"/>
        <v>4456004421297</v>
      </c>
      <c r="K98" s="189">
        <f t="shared" si="8"/>
        <v>1.1375697525058945E-2</v>
      </c>
      <c r="L98" s="44">
        <f>309267511*O6</f>
        <v>4330054421511</v>
      </c>
      <c r="M98" s="44">
        <f>451103384*O6</f>
        <v>6315898479384</v>
      </c>
      <c r="N98" s="135">
        <f t="shared" si="9"/>
        <v>0.68558011748366754</v>
      </c>
    </row>
    <row r="99" spans="1:14" ht="15.75" customHeight="1" x14ac:dyDescent="0.25">
      <c r="A99" s="48" t="str">
        <f>'X3'!B99</f>
        <v>PBRX</v>
      </c>
      <c r="B99" s="49"/>
      <c r="C99" s="43">
        <v>38212</v>
      </c>
      <c r="D99" s="44">
        <f>665049043*O6</f>
        <v>9311351651043</v>
      </c>
      <c r="E99" s="89">
        <f t="shared" si="7"/>
        <v>4.1038080648280239E-9</v>
      </c>
      <c r="F99" s="83">
        <v>510</v>
      </c>
      <c r="G99" s="44">
        <v>568</v>
      </c>
      <c r="H99" s="87">
        <f t="shared" si="5"/>
        <v>0.897887323943662</v>
      </c>
      <c r="I99" s="44">
        <v>0</v>
      </c>
      <c r="J99" s="44">
        <f t="shared" si="6"/>
        <v>9311351651043</v>
      </c>
      <c r="K99" s="189">
        <f t="shared" si="8"/>
        <v>0</v>
      </c>
      <c r="L99" s="44">
        <f>113599793*O6</f>
        <v>1590510701793</v>
      </c>
      <c r="M99" s="44">
        <f>658393892*O6</f>
        <v>9218172881892</v>
      </c>
      <c r="N99" s="135">
        <f t="shared" si="9"/>
        <v>0.17254077594024825</v>
      </c>
    </row>
    <row r="100" spans="1:14" ht="15.75" customHeight="1" x14ac:dyDescent="0.25">
      <c r="A100" s="48" t="str">
        <f>'X3'!B100</f>
        <v>PTSN</v>
      </c>
      <c r="B100" s="49"/>
      <c r="C100" s="43">
        <v>466</v>
      </c>
      <c r="D100" s="44">
        <f>330130913*O6</f>
        <v>4622162912913</v>
      </c>
      <c r="E100" s="89">
        <f t="shared" si="7"/>
        <v>1.0081860133015421E-10</v>
      </c>
      <c r="F100" s="83">
        <v>268</v>
      </c>
      <c r="G100" s="44">
        <v>185</v>
      </c>
      <c r="H100" s="87">
        <f t="shared" ref="H100:H144" si="10">F100/G100</f>
        <v>1.4486486486486487</v>
      </c>
      <c r="I100" s="44">
        <v>0</v>
      </c>
      <c r="J100" s="44">
        <f t="shared" si="6"/>
        <v>4622162912913</v>
      </c>
      <c r="K100" s="195">
        <f t="shared" si="8"/>
        <v>0</v>
      </c>
      <c r="L100" s="44">
        <f>85827450*O6</f>
        <v>1201670127450</v>
      </c>
      <c r="M100" s="44">
        <f>161249768*O6</f>
        <v>2257658001768</v>
      </c>
      <c r="N100" s="135">
        <f t="shared" si="9"/>
        <v>0.53226402161397224</v>
      </c>
    </row>
    <row r="101" spans="1:14" ht="15.75" customHeight="1" x14ac:dyDescent="0.25">
      <c r="A101" s="48" t="str">
        <f>'X3'!B101</f>
        <v>RICY</v>
      </c>
      <c r="B101" s="49"/>
      <c r="C101" s="43">
        <v>2164</v>
      </c>
      <c r="D101" s="44">
        <v>2151323988585</v>
      </c>
      <c r="E101" s="89">
        <f t="shared" si="7"/>
        <v>1.0058921908007625E-9</v>
      </c>
      <c r="F101" s="83">
        <v>149</v>
      </c>
      <c r="G101" s="44">
        <v>712</v>
      </c>
      <c r="H101" s="87">
        <f t="shared" si="10"/>
        <v>0.20926966292134833</v>
      </c>
      <c r="I101" s="44">
        <v>31393320116</v>
      </c>
      <c r="J101" s="44">
        <f t="shared" si="6"/>
        <v>2151323988585</v>
      </c>
      <c r="K101" s="195">
        <f t="shared" si="8"/>
        <v>1.4592558016632571E-2</v>
      </c>
      <c r="L101" s="44">
        <v>292005931681</v>
      </c>
      <c r="M101" s="44">
        <v>1619854736252</v>
      </c>
      <c r="N101" s="135">
        <f t="shared" si="9"/>
        <v>0.18026673944642699</v>
      </c>
    </row>
    <row r="102" spans="1:14" ht="15.75" customHeight="1" x14ac:dyDescent="0.25">
      <c r="A102" s="48" t="str">
        <f>'X3'!B102</f>
        <v>SMSM</v>
      </c>
      <c r="B102" s="49"/>
      <c r="C102" s="43">
        <v>3573</v>
      </c>
      <c r="D102" s="44">
        <v>3935811000000</v>
      </c>
      <c r="E102" s="89">
        <f t="shared" si="7"/>
        <v>9.0781798211347042E-10</v>
      </c>
      <c r="F102" s="83">
        <v>1490</v>
      </c>
      <c r="G102" s="44">
        <v>424</v>
      </c>
      <c r="H102" s="87">
        <f t="shared" si="10"/>
        <v>3.5141509433962264</v>
      </c>
      <c r="I102" s="44">
        <v>11552000000</v>
      </c>
      <c r="J102" s="44">
        <f t="shared" si="6"/>
        <v>3935811000000</v>
      </c>
      <c r="K102" s="195">
        <f t="shared" si="8"/>
        <v>2.9351002880981837E-3</v>
      </c>
      <c r="L102" s="44">
        <v>750504000000</v>
      </c>
      <c r="M102" s="44">
        <v>3106981000000</v>
      </c>
      <c r="N102" s="135">
        <f t="shared" si="9"/>
        <v>0.24155410026646446</v>
      </c>
    </row>
    <row r="103" spans="1:14" ht="15.75" customHeight="1" x14ac:dyDescent="0.25">
      <c r="A103" s="48" t="str">
        <f>'X3'!B103</f>
        <v>SRIL</v>
      </c>
      <c r="B103" s="49"/>
      <c r="C103" s="43">
        <v>18763</v>
      </c>
      <c r="D103" s="44">
        <f>1181834182*O6</f>
        <v>16546860382182</v>
      </c>
      <c r="E103" s="89">
        <f t="shared" si="7"/>
        <v>1.1339311244932232E-9</v>
      </c>
      <c r="F103" s="83">
        <v>260</v>
      </c>
      <c r="G103" s="44">
        <v>404</v>
      </c>
      <c r="H103" s="87">
        <f t="shared" si="10"/>
        <v>0.64356435643564358</v>
      </c>
      <c r="I103" s="44">
        <v>0</v>
      </c>
      <c r="J103" s="44">
        <f t="shared" si="6"/>
        <v>16546860382182</v>
      </c>
      <c r="K103" s="195">
        <f t="shared" si="8"/>
        <v>0</v>
      </c>
      <c r="L103" s="44">
        <f>653796162*O6</f>
        <v>9153800064162</v>
      </c>
      <c r="M103" s="44">
        <f>1559251755*O6</f>
        <v>21831083821755</v>
      </c>
      <c r="N103" s="135">
        <f t="shared" si="9"/>
        <v>0.41930121925692493</v>
      </c>
    </row>
    <row r="104" spans="1:14" ht="15.75" customHeight="1" x14ac:dyDescent="0.25">
      <c r="A104" s="48" t="str">
        <f>'X3'!B104</f>
        <v>VOKS</v>
      </c>
      <c r="B104" s="49"/>
      <c r="C104" s="43">
        <v>1323</v>
      </c>
      <c r="D104" s="44">
        <v>2669686185127</v>
      </c>
      <c r="E104" s="89">
        <f t="shared" si="7"/>
        <v>4.955638634123072E-10</v>
      </c>
      <c r="F104" s="83">
        <v>402</v>
      </c>
      <c r="G104" s="44">
        <v>267</v>
      </c>
      <c r="H104" s="87">
        <f t="shared" si="10"/>
        <v>1.5056179775280898</v>
      </c>
      <c r="I104" s="44">
        <v>0</v>
      </c>
      <c r="J104" s="44">
        <f t="shared" ref="J104:J142" si="11">D104</f>
        <v>2669686185127</v>
      </c>
      <c r="K104" s="195">
        <f t="shared" si="8"/>
        <v>0</v>
      </c>
      <c r="L104" s="44">
        <v>565275159039</v>
      </c>
      <c r="M104" s="44">
        <v>3027942155357</v>
      </c>
      <c r="N104" s="135">
        <f t="shared" si="9"/>
        <v>0.18668624763485714</v>
      </c>
    </row>
    <row r="105" spans="1:14" ht="15.75" customHeight="1" x14ac:dyDescent="0.25">
      <c r="A105" s="48" t="str">
        <f>'X3'!B105</f>
        <v>ACST</v>
      </c>
      <c r="B105" s="49"/>
      <c r="C105" s="43">
        <v>452</v>
      </c>
      <c r="D105" s="44">
        <v>3947173000000</v>
      </c>
      <c r="E105" s="89">
        <f t="shared" si="7"/>
        <v>1.1451233579070388E-10</v>
      </c>
      <c r="F105" s="83">
        <v>970</v>
      </c>
      <c r="G105" s="44">
        <v>44</v>
      </c>
      <c r="H105" s="87">
        <f t="shared" si="10"/>
        <v>22.045454545454547</v>
      </c>
      <c r="I105" s="44"/>
      <c r="J105" s="44">
        <f t="shared" si="11"/>
        <v>3947173000000</v>
      </c>
      <c r="K105" s="195">
        <f t="shared" si="8"/>
        <v>0</v>
      </c>
      <c r="L105" s="44">
        <v>745130000000</v>
      </c>
      <c r="M105" s="44">
        <v>10446519000000</v>
      </c>
      <c r="N105" s="135">
        <f t="shared" si="9"/>
        <v>7.1328066315678937E-2</v>
      </c>
    </row>
    <row r="106" spans="1:14" ht="15.75" customHeight="1" x14ac:dyDescent="0.25">
      <c r="A106" s="48" t="str">
        <f>'X3'!B106</f>
        <v>APLN</v>
      </c>
      <c r="B106" s="49"/>
      <c r="C106" s="43">
        <v>1416</v>
      </c>
      <c r="D106" s="44">
        <v>3792475607000</v>
      </c>
      <c r="E106" s="89">
        <f t="shared" si="7"/>
        <v>3.7337089192779613E-10</v>
      </c>
      <c r="F106" s="83">
        <v>198</v>
      </c>
      <c r="G106" s="44">
        <v>565</v>
      </c>
      <c r="H106" s="87">
        <f t="shared" si="10"/>
        <v>0.35044247787610622</v>
      </c>
      <c r="I106" s="44">
        <v>41116426000</v>
      </c>
      <c r="J106" s="44">
        <f t="shared" si="11"/>
        <v>3792475607000</v>
      </c>
      <c r="K106" s="195">
        <f t="shared" si="8"/>
        <v>1.0841579554027703E-2</v>
      </c>
      <c r="L106" s="44">
        <v>3658026494000</v>
      </c>
      <c r="M106" s="44">
        <v>29460345080000</v>
      </c>
      <c r="N106" s="135">
        <f t="shared" si="9"/>
        <v>0.12416780876349463</v>
      </c>
    </row>
    <row r="107" spans="1:14" ht="15.75" customHeight="1" x14ac:dyDescent="0.25">
      <c r="A107" s="48" t="str">
        <f>'X3'!B107</f>
        <v>ASRI</v>
      </c>
      <c r="B107" s="49"/>
      <c r="C107" s="43">
        <v>1891</v>
      </c>
      <c r="D107" s="44">
        <v>3475677175000</v>
      </c>
      <c r="E107" s="89">
        <f t="shared" si="7"/>
        <v>5.4406663933050688E-10</v>
      </c>
      <c r="F107" s="83">
        <v>238</v>
      </c>
      <c r="G107" s="44">
        <v>537</v>
      </c>
      <c r="H107" s="87">
        <f t="shared" si="10"/>
        <v>0.44320297951582865</v>
      </c>
      <c r="I107" s="44">
        <v>107970860000</v>
      </c>
      <c r="J107" s="44">
        <f t="shared" si="11"/>
        <v>3475677175000</v>
      </c>
      <c r="K107" s="195">
        <f t="shared" si="8"/>
        <v>3.1064697485893522E-2</v>
      </c>
      <c r="L107" s="44">
        <v>1298289971000</v>
      </c>
      <c r="M107" s="44">
        <v>21894272005000</v>
      </c>
      <c r="N107" s="135">
        <f t="shared" si="9"/>
        <v>5.9298156645880222E-2</v>
      </c>
    </row>
    <row r="108" spans="1:14" ht="15.75" customHeight="1" x14ac:dyDescent="0.25">
      <c r="A108" s="48" t="str">
        <f>'X3'!B108</f>
        <v>BSDE</v>
      </c>
      <c r="B108" s="49"/>
      <c r="C108" s="43">
        <v>3916</v>
      </c>
      <c r="D108" s="44">
        <v>7084864038574</v>
      </c>
      <c r="E108" s="89">
        <f t="shared" si="7"/>
        <v>5.5272761462733584E-10</v>
      </c>
      <c r="F108" s="83">
        <v>1255</v>
      </c>
      <c r="G108" s="44">
        <v>1584</v>
      </c>
      <c r="H108" s="87">
        <f t="shared" si="10"/>
        <v>0.79229797979797978</v>
      </c>
      <c r="I108" s="44">
        <v>265516767943</v>
      </c>
      <c r="J108" s="44">
        <f t="shared" si="11"/>
        <v>7084864038574</v>
      </c>
      <c r="K108" s="195">
        <f t="shared" si="8"/>
        <v>3.7476621498645113E-2</v>
      </c>
      <c r="L108" s="44">
        <v>8251942578182</v>
      </c>
      <c r="M108" s="44">
        <v>54444849052447</v>
      </c>
      <c r="N108" s="139">
        <f t="shared" si="9"/>
        <v>0.15156516588434035</v>
      </c>
    </row>
    <row r="109" spans="1:14" ht="15.75" customHeight="1" x14ac:dyDescent="0.25">
      <c r="A109" s="48" t="str">
        <f>'X3'!B109</f>
        <v>CTRA</v>
      </c>
      <c r="B109" s="49"/>
      <c r="C109" s="43">
        <v>3609</v>
      </c>
      <c r="D109" s="44">
        <v>7608237000000</v>
      </c>
      <c r="E109" s="89">
        <f t="shared" si="7"/>
        <v>4.7435430836342242E-10</v>
      </c>
      <c r="F109" s="83">
        <v>1040</v>
      </c>
      <c r="G109" s="44">
        <v>956</v>
      </c>
      <c r="H109" s="87">
        <f t="shared" si="10"/>
        <v>1.0878661087866108</v>
      </c>
      <c r="I109" s="44">
        <v>1225000000</v>
      </c>
      <c r="J109" s="44">
        <f t="shared" si="11"/>
        <v>7608237000000</v>
      </c>
      <c r="K109" s="184">
        <f t="shared" si="8"/>
        <v>1.6100970566505749E-4</v>
      </c>
      <c r="L109" s="44">
        <v>3089106000000</v>
      </c>
      <c r="M109" s="44">
        <v>36196024000000</v>
      </c>
      <c r="N109" s="139">
        <f t="shared" si="9"/>
        <v>8.5343793561414374E-2</v>
      </c>
    </row>
    <row r="110" spans="1:14" ht="15.75" customHeight="1" x14ac:dyDescent="0.25">
      <c r="A110" s="48" t="str">
        <f>'X3'!B110</f>
        <v>DILD</v>
      </c>
      <c r="B110" s="49"/>
      <c r="C110" s="43">
        <v>1543</v>
      </c>
      <c r="D110" s="44">
        <v>2736388551409</v>
      </c>
      <c r="E110" s="89">
        <f t="shared" si="7"/>
        <v>5.6388190895093837E-10</v>
      </c>
      <c r="F110" s="83">
        <v>260</v>
      </c>
      <c r="G110" s="44">
        <v>697</v>
      </c>
      <c r="H110" s="87">
        <f t="shared" si="10"/>
        <v>0.37302725968436157</v>
      </c>
      <c r="I110" s="44">
        <v>45771225095</v>
      </c>
      <c r="J110" s="44">
        <f t="shared" si="11"/>
        <v>2736388551409</v>
      </c>
      <c r="K110" s="184">
        <f t="shared" si="8"/>
        <v>1.6726873481264871E-2</v>
      </c>
      <c r="L110" s="119">
        <v>232819760071</v>
      </c>
      <c r="M110" s="119">
        <v>14777496292639</v>
      </c>
      <c r="N110" s="139">
        <f t="shared" si="9"/>
        <v>1.5755020705839912E-2</v>
      </c>
    </row>
    <row r="111" spans="1:14" ht="15.75" customHeight="1" x14ac:dyDescent="0.25">
      <c r="A111" s="48" t="str">
        <f>'X3'!B111</f>
        <v>DMAS</v>
      </c>
      <c r="B111" s="49"/>
      <c r="C111" s="43">
        <v>514</v>
      </c>
      <c r="D111" s="44">
        <v>2650255153377</v>
      </c>
      <c r="E111" s="89">
        <f t="shared" si="7"/>
        <v>1.9394359042941677E-10</v>
      </c>
      <c r="F111" s="83">
        <v>296</v>
      </c>
      <c r="G111" s="44">
        <v>134</v>
      </c>
      <c r="H111" s="87">
        <f t="shared" si="10"/>
        <v>2.2089552238805972</v>
      </c>
      <c r="I111" s="44">
        <v>4641314606</v>
      </c>
      <c r="J111" s="44">
        <f t="shared" si="11"/>
        <v>2650255153377</v>
      </c>
      <c r="K111" s="184">
        <f t="shared" si="8"/>
        <v>1.7512708540858635E-3</v>
      </c>
      <c r="L111" s="44">
        <v>309629928622</v>
      </c>
      <c r="M111" s="44">
        <v>7616971029620</v>
      </c>
      <c r="N111" s="139">
        <f t="shared" ref="N111:N142" si="12">L111/M111</f>
        <v>4.0650007387181435E-2</v>
      </c>
    </row>
    <row r="112" spans="1:14" ht="15.75" customHeight="1" x14ac:dyDescent="0.25">
      <c r="A112" s="48" t="str">
        <f>'X3'!B112</f>
        <v>ELTY</v>
      </c>
      <c r="B112" s="49"/>
      <c r="C112" s="43">
        <v>622</v>
      </c>
      <c r="D112" s="44">
        <v>977548208323</v>
      </c>
      <c r="E112" s="89">
        <f t="shared" si="7"/>
        <v>6.3628575522331653E-10</v>
      </c>
      <c r="F112" s="83">
        <v>50</v>
      </c>
      <c r="G112" s="44">
        <v>0</v>
      </c>
      <c r="H112" s="87" t="e">
        <f t="shared" si="10"/>
        <v>#DIV/0!</v>
      </c>
      <c r="I112" s="44">
        <v>23211473270</v>
      </c>
      <c r="J112" s="44">
        <f t="shared" si="11"/>
        <v>977548208323</v>
      </c>
      <c r="K112" s="184">
        <f t="shared" si="8"/>
        <v>2.3744581671137899E-2</v>
      </c>
      <c r="L112" s="119">
        <v>2831093984408</v>
      </c>
      <c r="M112" s="119">
        <v>12329520357728</v>
      </c>
      <c r="N112" s="139">
        <f t="shared" si="12"/>
        <v>0.22961914999665847</v>
      </c>
    </row>
    <row r="113" spans="1:14" ht="15.75" customHeight="1" x14ac:dyDescent="0.25">
      <c r="A113" s="48" t="str">
        <f>'X3'!B113</f>
        <v>JKON</v>
      </c>
      <c r="B113" s="49"/>
      <c r="C113" s="43">
        <v>2107</v>
      </c>
      <c r="D113" s="44">
        <v>5470824200000</v>
      </c>
      <c r="E113" s="89">
        <f t="shared" si="7"/>
        <v>3.8513392552442098E-10</v>
      </c>
      <c r="F113" s="83">
        <v>500</v>
      </c>
      <c r="G113" s="44">
        <v>165</v>
      </c>
      <c r="H113" s="87">
        <f t="shared" si="10"/>
        <v>3.0303030303030303</v>
      </c>
      <c r="I113" s="44">
        <v>0</v>
      </c>
      <c r="J113" s="44">
        <f t="shared" si="11"/>
        <v>5470824200000</v>
      </c>
      <c r="K113" s="184">
        <f t="shared" si="8"/>
        <v>0</v>
      </c>
      <c r="L113" s="44">
        <v>668140593000</v>
      </c>
      <c r="M113" s="44">
        <v>4928108872000</v>
      </c>
      <c r="N113" s="139">
        <f t="shared" si="12"/>
        <v>0.13557748222572141</v>
      </c>
    </row>
    <row r="114" spans="1:14" ht="15.75" customHeight="1" x14ac:dyDescent="0.25">
      <c r="A114" s="48" t="str">
        <f>'X3'!B114</f>
        <v>KIJA</v>
      </c>
      <c r="B114" s="49"/>
      <c r="C114" s="43">
        <v>821</v>
      </c>
      <c r="D114" s="44">
        <v>2253944326651</v>
      </c>
      <c r="E114" s="89">
        <f t="shared" si="7"/>
        <v>3.6425034562405291E-10</v>
      </c>
      <c r="F114" s="83">
        <v>292</v>
      </c>
      <c r="G114" s="44">
        <v>302</v>
      </c>
      <c r="H114" s="87">
        <f t="shared" si="10"/>
        <v>0.9668874172185431</v>
      </c>
      <c r="I114" s="44">
        <v>35377341824</v>
      </c>
      <c r="J114" s="44">
        <f t="shared" si="11"/>
        <v>2253944326651</v>
      </c>
      <c r="K114" s="204">
        <f t="shared" si="8"/>
        <v>1.5695747852195206E-2</v>
      </c>
      <c r="L114" s="44">
        <v>2140893989406</v>
      </c>
      <c r="M114" s="44">
        <v>12184611579312</v>
      </c>
      <c r="N114" s="139">
        <f t="shared" si="12"/>
        <v>0.17570473834725922</v>
      </c>
    </row>
    <row r="115" spans="1:14" ht="15.75" customHeight="1" x14ac:dyDescent="0.25">
      <c r="A115" s="48" t="str">
        <f>'X3'!B115</f>
        <v>LPCK</v>
      </c>
      <c r="B115" s="49"/>
      <c r="C115" s="43">
        <v>427</v>
      </c>
      <c r="D115" s="44">
        <v>1658434000000</v>
      </c>
      <c r="E115" s="89">
        <f t="shared" si="7"/>
        <v>2.5747180774152002E-10</v>
      </c>
      <c r="F115" s="83">
        <v>1015</v>
      </c>
      <c r="G115" s="44">
        <v>4061</v>
      </c>
      <c r="H115" s="87">
        <f t="shared" si="10"/>
        <v>0.24993843880817532</v>
      </c>
      <c r="I115" s="44">
        <v>37060000000</v>
      </c>
      <c r="J115" s="44">
        <f t="shared" si="11"/>
        <v>1658434000000</v>
      </c>
      <c r="K115" s="204">
        <f t="shared" si="8"/>
        <v>2.2346382189463072E-2</v>
      </c>
      <c r="L115" s="44">
        <v>94457000000</v>
      </c>
      <c r="M115" s="44">
        <v>94116000000</v>
      </c>
      <c r="N115" s="139">
        <f t="shared" si="12"/>
        <v>1.0036231884057971</v>
      </c>
    </row>
    <row r="116" spans="1:14" ht="15.75" customHeight="1" x14ac:dyDescent="0.25">
      <c r="A116" s="48" t="str">
        <f>'X3'!B116</f>
        <v>LPKR</v>
      </c>
      <c r="B116" s="49"/>
      <c r="C116" s="43">
        <v>10967</v>
      </c>
      <c r="D116" s="44">
        <v>12177173000000</v>
      </c>
      <c r="E116" s="89">
        <f t="shared" si="7"/>
        <v>9.0061954445420129E-10</v>
      </c>
      <c r="F116" s="83">
        <v>242</v>
      </c>
      <c r="G116" s="44">
        <v>484</v>
      </c>
      <c r="H116" s="87">
        <f t="shared" si="10"/>
        <v>0.5</v>
      </c>
      <c r="I116" s="44">
        <v>156635000000</v>
      </c>
      <c r="J116" s="44">
        <f t="shared" si="11"/>
        <v>12177173000000</v>
      </c>
      <c r="K116" s="204">
        <f t="shared" si="8"/>
        <v>1.286300194634666E-2</v>
      </c>
      <c r="L116" s="44">
        <v>5369030000000</v>
      </c>
      <c r="M116" s="44">
        <v>55079585000000</v>
      </c>
      <c r="N116" s="139">
        <f t="shared" si="12"/>
        <v>9.7477677074001193E-2</v>
      </c>
    </row>
    <row r="117" spans="1:14" ht="15.75" customHeight="1" x14ac:dyDescent="0.25">
      <c r="A117" s="48" t="str">
        <f>'X3'!B117</f>
        <v>MDLN</v>
      </c>
      <c r="B117" s="49"/>
      <c r="C117" s="43">
        <v>1188</v>
      </c>
      <c r="D117" s="44">
        <v>2373275556528</v>
      </c>
      <c r="E117" s="89">
        <f t="shared" si="7"/>
        <v>5.0057398380573765E-10</v>
      </c>
      <c r="F117" s="83">
        <v>214</v>
      </c>
      <c r="G117" s="44">
        <v>578</v>
      </c>
      <c r="H117" s="87">
        <f t="shared" si="10"/>
        <v>0.37024221453287198</v>
      </c>
      <c r="I117" s="44">
        <v>35389575507</v>
      </c>
      <c r="J117" s="44">
        <f t="shared" si="11"/>
        <v>2373275556528</v>
      </c>
      <c r="K117" s="184">
        <f t="shared" si="8"/>
        <v>1.4911701007350965E-2</v>
      </c>
      <c r="L117" s="44">
        <v>1409327415633</v>
      </c>
      <c r="M117" s="44">
        <v>16125557867483</v>
      </c>
      <c r="N117" s="139">
        <f t="shared" si="12"/>
        <v>8.7397126177872722E-2</v>
      </c>
    </row>
    <row r="118" spans="1:14" ht="15.75" customHeight="1" x14ac:dyDescent="0.25">
      <c r="A118" s="48" t="str">
        <f>'X3'!B118</f>
        <v>PBSA</v>
      </c>
      <c r="B118" s="49"/>
      <c r="C118" s="43">
        <v>135</v>
      </c>
      <c r="D118" s="44">
        <v>607764419249</v>
      </c>
      <c r="E118" s="89">
        <f t="shared" si="7"/>
        <v>2.2212554029868396E-10</v>
      </c>
      <c r="F118" s="83">
        <v>700</v>
      </c>
      <c r="G118" s="44">
        <v>358</v>
      </c>
      <c r="H118" s="87">
        <f t="shared" si="10"/>
        <v>1.9553072625698324</v>
      </c>
      <c r="I118" s="44">
        <v>0</v>
      </c>
      <c r="J118" s="44">
        <f t="shared" si="11"/>
        <v>607764419249</v>
      </c>
      <c r="K118" s="184">
        <f t="shared" si="8"/>
        <v>0</v>
      </c>
      <c r="L118" s="44">
        <v>145676335815</v>
      </c>
      <c r="M118" s="44">
        <v>722903663896</v>
      </c>
      <c r="N118" s="139">
        <f t="shared" si="12"/>
        <v>0.20151555883656114</v>
      </c>
    </row>
    <row r="119" spans="1:14" ht="15.75" customHeight="1" x14ac:dyDescent="0.25">
      <c r="A119" s="48" t="str">
        <f>'X3'!B119</f>
        <v>PWON</v>
      </c>
      <c r="B119" s="49"/>
      <c r="C119" s="43">
        <v>2901</v>
      </c>
      <c r="D119" s="44">
        <v>7202001193000</v>
      </c>
      <c r="E119" s="89">
        <f t="shared" ref="E119:E147" si="13">C119/D119</f>
        <v>4.0280470972701767E-10</v>
      </c>
      <c r="F119" s="83">
        <v>570</v>
      </c>
      <c r="G119" s="44">
        <v>375</v>
      </c>
      <c r="H119" s="87">
        <f t="shared" si="10"/>
        <v>1.52</v>
      </c>
      <c r="I119" s="44">
        <v>43891969000</v>
      </c>
      <c r="J119" s="44">
        <f t="shared" si="11"/>
        <v>7202001193000</v>
      </c>
      <c r="K119" s="184">
        <f t="shared" si="8"/>
        <v>6.0944129032720644E-3</v>
      </c>
      <c r="L119" s="44">
        <v>2075840106000</v>
      </c>
      <c r="M119" s="44">
        <v>26095153343000</v>
      </c>
      <c r="N119" s="139">
        <f t="shared" si="12"/>
        <v>7.9548875559945387E-2</v>
      </c>
    </row>
    <row r="120" spans="1:14" ht="15.75" customHeight="1" x14ac:dyDescent="0.25">
      <c r="A120" s="48" t="str">
        <f>'X3'!B120</f>
        <v>ABMM</v>
      </c>
      <c r="B120" s="49"/>
      <c r="C120" s="43">
        <v>5214</v>
      </c>
      <c r="D120" s="44">
        <f>592394952*O6</f>
        <v>8294121722952</v>
      </c>
      <c r="E120" s="89">
        <f t="shared" si="13"/>
        <v>6.2863798894722041E-10</v>
      </c>
      <c r="F120" s="84">
        <v>1530</v>
      </c>
      <c r="G120" s="118">
        <v>1241</v>
      </c>
      <c r="H120" s="87">
        <f t="shared" si="10"/>
        <v>1.2328767123287672</v>
      </c>
      <c r="I120" s="44">
        <v>0</v>
      </c>
      <c r="J120" s="44">
        <f t="shared" si="11"/>
        <v>8294121722952</v>
      </c>
      <c r="K120" s="206">
        <f t="shared" si="8"/>
        <v>0</v>
      </c>
      <c r="L120" s="44">
        <f>369711104*O6</f>
        <v>5176325167104</v>
      </c>
      <c r="M120" s="44">
        <f>854228765*O6</f>
        <v>11960056938765</v>
      </c>
      <c r="N120" s="139">
        <f t="shared" si="12"/>
        <v>0.43280104715274953</v>
      </c>
    </row>
    <row r="121" spans="1:14" ht="15.75" customHeight="1" x14ac:dyDescent="0.25">
      <c r="A121" s="48" t="str">
        <f>'X3'!B121</f>
        <v>AKRA</v>
      </c>
      <c r="B121" s="49"/>
      <c r="C121" s="43">
        <v>1899</v>
      </c>
      <c r="D121" s="44">
        <v>21702637573000</v>
      </c>
      <c r="E121" s="89">
        <f t="shared" si="13"/>
        <v>8.7500885254727008E-11</v>
      </c>
      <c r="F121" s="83">
        <v>3950</v>
      </c>
      <c r="G121" s="44">
        <v>2507</v>
      </c>
      <c r="H121" s="87">
        <f t="shared" si="10"/>
        <v>1.5755883526126844</v>
      </c>
      <c r="I121" s="44">
        <v>29605118000</v>
      </c>
      <c r="J121" s="44">
        <f t="shared" si="11"/>
        <v>21702637573000</v>
      </c>
      <c r="K121" s="206">
        <f t="shared" si="8"/>
        <v>1.3641253465353624E-3</v>
      </c>
      <c r="L121" s="44">
        <v>5325172386000</v>
      </c>
      <c r="M121" s="44">
        <v>21409046173000</v>
      </c>
      <c r="N121" s="139">
        <f t="shared" si="12"/>
        <v>0.24873468640166868</v>
      </c>
    </row>
    <row r="122" spans="1:14" ht="15.75" customHeight="1" x14ac:dyDescent="0.25">
      <c r="A122" s="48" t="str">
        <f>'X3'!B122</f>
        <v>AMRT</v>
      </c>
      <c r="B122" s="49"/>
      <c r="C122" s="43">
        <v>59214</v>
      </c>
      <c r="D122" s="44">
        <v>72944988000000</v>
      </c>
      <c r="E122" s="89">
        <f t="shared" si="13"/>
        <v>8.1176242019533955E-10</v>
      </c>
      <c r="F122" s="83">
        <v>880</v>
      </c>
      <c r="G122" s="44">
        <v>165</v>
      </c>
      <c r="H122" s="87">
        <f t="shared" si="10"/>
        <v>5.333333333333333</v>
      </c>
      <c r="I122" s="44">
        <v>81285000000</v>
      </c>
      <c r="J122" s="44">
        <f t="shared" si="11"/>
        <v>72944988000000</v>
      </c>
      <c r="K122" s="206">
        <f t="shared" si="8"/>
        <v>1.114332899746313E-3</v>
      </c>
      <c r="L122" s="44">
        <v>5453229000000</v>
      </c>
      <c r="M122" s="44">
        <v>23992313000000</v>
      </c>
      <c r="N122" s="139">
        <f t="shared" si="12"/>
        <v>0.22729067430889219</v>
      </c>
    </row>
    <row r="123" spans="1:14" ht="15.75" customHeight="1" x14ac:dyDescent="0.25">
      <c r="A123" s="48" t="str">
        <f>'X3'!B123</f>
        <v>ATIC</v>
      </c>
      <c r="B123" s="49"/>
      <c r="C123" s="43">
        <v>1822</v>
      </c>
      <c r="D123" s="44">
        <v>5552209122095</v>
      </c>
      <c r="E123" s="89">
        <f t="shared" si="13"/>
        <v>3.2815766840433954E-10</v>
      </c>
      <c r="F123" s="83">
        <v>640</v>
      </c>
      <c r="G123" s="44">
        <v>630</v>
      </c>
      <c r="H123" s="87">
        <f t="shared" si="10"/>
        <v>1.0158730158730158</v>
      </c>
      <c r="I123" s="44">
        <v>7649280017</v>
      </c>
      <c r="J123" s="44">
        <f t="shared" si="11"/>
        <v>5552209122095</v>
      </c>
      <c r="K123" s="206">
        <f t="shared" si="8"/>
        <v>1.3777002718719136E-3</v>
      </c>
      <c r="L123" s="44">
        <v>616814508565</v>
      </c>
      <c r="M123" s="44">
        <v>4594445056411</v>
      </c>
      <c r="N123" s="139">
        <f t="shared" si="12"/>
        <v>0.13425223307531101</v>
      </c>
    </row>
    <row r="124" spans="1:14" ht="15.75" customHeight="1" x14ac:dyDescent="0.25">
      <c r="A124" s="48" t="str">
        <f>'X3'!B124</f>
        <v>BHIT</v>
      </c>
      <c r="B124" s="49"/>
      <c r="C124" s="43">
        <v>13920</v>
      </c>
      <c r="D124" s="44">
        <v>15967376000000</v>
      </c>
      <c r="E124" s="89">
        <f t="shared" si="13"/>
        <v>8.7177755443348988E-10</v>
      </c>
      <c r="F124" s="83">
        <v>64</v>
      </c>
      <c r="G124" s="44">
        <v>390</v>
      </c>
      <c r="H124" s="87">
        <f t="shared" si="10"/>
        <v>0.1641025641025641</v>
      </c>
      <c r="I124" s="44">
        <v>3020429000000</v>
      </c>
      <c r="J124" s="44">
        <f t="shared" si="11"/>
        <v>15967376000000</v>
      </c>
      <c r="K124" s="206">
        <f t="shared" si="8"/>
        <v>0.18916251486781546</v>
      </c>
      <c r="L124" s="44">
        <v>14973966000000</v>
      </c>
      <c r="M124" s="44">
        <v>57613499000000</v>
      </c>
      <c r="N124" s="139">
        <f t="shared" si="12"/>
        <v>0.25990377706446888</v>
      </c>
    </row>
    <row r="125" spans="1:14" ht="15.75" customHeight="1" x14ac:dyDescent="0.25">
      <c r="A125" s="48" t="str">
        <f>'X3'!B125</f>
        <v>BMSR</v>
      </c>
      <c r="B125" s="49"/>
      <c r="C125" s="43">
        <v>59</v>
      </c>
      <c r="D125" s="44">
        <v>2909964456328</v>
      </c>
      <c r="E125" s="89">
        <f t="shared" si="13"/>
        <v>2.0275161736666156E-11</v>
      </c>
      <c r="F125" s="83">
        <v>105</v>
      </c>
      <c r="G125" s="44">
        <v>130</v>
      </c>
      <c r="H125" s="87">
        <f t="shared" si="10"/>
        <v>0.80769230769230771</v>
      </c>
      <c r="I125" s="44">
        <v>0</v>
      </c>
      <c r="J125" s="44">
        <f t="shared" si="11"/>
        <v>2909964456328</v>
      </c>
      <c r="K125" s="206">
        <f t="shared" si="8"/>
        <v>0</v>
      </c>
      <c r="L125" s="44">
        <v>22476930807</v>
      </c>
      <c r="M125" s="44">
        <v>622051446965</v>
      </c>
      <c r="N125" s="139">
        <f t="shared" si="12"/>
        <v>3.613355602123481E-2</v>
      </c>
    </row>
    <row r="126" spans="1:14" ht="15.75" customHeight="1" x14ac:dyDescent="0.25">
      <c r="A126" s="48" t="str">
        <f>'X3'!B126</f>
        <v>BMTR</v>
      </c>
      <c r="B126" s="49"/>
      <c r="C126" s="43">
        <v>11296</v>
      </c>
      <c r="D126" s="44">
        <v>12936503000000</v>
      </c>
      <c r="E126" s="89">
        <f t="shared" si="13"/>
        <v>8.7318806326562903E-10</v>
      </c>
      <c r="F126" s="83">
        <v>348</v>
      </c>
      <c r="G126" s="44">
        <v>1047</v>
      </c>
      <c r="H126" s="87">
        <f t="shared" si="10"/>
        <v>0.33237822349570201</v>
      </c>
      <c r="I126" s="44">
        <v>360332000000</v>
      </c>
      <c r="J126" s="44">
        <f t="shared" si="11"/>
        <v>12936503000000</v>
      </c>
      <c r="K126" s="206">
        <f t="shared" si="8"/>
        <v>2.7853895291486425E-2</v>
      </c>
      <c r="L126" s="44">
        <v>13556208000000</v>
      </c>
      <c r="M126" s="44">
        <v>30154793000000</v>
      </c>
      <c r="N126" s="139">
        <f t="shared" si="12"/>
        <v>0.44955400622381986</v>
      </c>
    </row>
    <row r="127" spans="1:14" ht="15.75" customHeight="1" x14ac:dyDescent="0.25">
      <c r="A127" s="48" t="str">
        <f>'X3'!B127</f>
        <v>EMTK</v>
      </c>
      <c r="B127" s="49"/>
      <c r="C127" s="43">
        <v>5139</v>
      </c>
      <c r="D127" s="44">
        <v>11100064611000</v>
      </c>
      <c r="E127" s="89">
        <f t="shared" si="13"/>
        <v>4.6297027811057308E-10</v>
      </c>
      <c r="F127" s="83">
        <v>5575</v>
      </c>
      <c r="G127" s="44">
        <v>2182</v>
      </c>
      <c r="H127" s="87">
        <f t="shared" si="10"/>
        <v>2.5549954170485791</v>
      </c>
      <c r="I127" s="44">
        <v>45760929000</v>
      </c>
      <c r="J127" s="44">
        <f t="shared" si="11"/>
        <v>11100064611000</v>
      </c>
      <c r="K127" s="206">
        <f t="shared" si="8"/>
        <v>4.1225822194450651E-3</v>
      </c>
      <c r="L127" s="44">
        <v>3028963325000</v>
      </c>
      <c r="M127" s="44">
        <v>17540637852000</v>
      </c>
      <c r="N127" s="139">
        <f t="shared" si="12"/>
        <v>0.17268262138224549</v>
      </c>
    </row>
    <row r="128" spans="1:14" ht="15.75" customHeight="1" x14ac:dyDescent="0.25">
      <c r="A128" s="48" t="str">
        <f>'X3'!B128</f>
        <v>ERAA</v>
      </c>
      <c r="B128" s="49"/>
      <c r="C128" s="43">
        <v>2912</v>
      </c>
      <c r="D128" s="44">
        <v>32944902671000</v>
      </c>
      <c r="E128" s="89">
        <f t="shared" si="13"/>
        <v>8.8390001606024168E-11</v>
      </c>
      <c r="F128" s="83">
        <v>1795</v>
      </c>
      <c r="G128" s="44">
        <v>1560</v>
      </c>
      <c r="H128" s="87">
        <f t="shared" si="10"/>
        <v>1.1506410256410255</v>
      </c>
      <c r="I128" s="44">
        <v>278504792000</v>
      </c>
      <c r="J128" s="44">
        <f t="shared" si="11"/>
        <v>32944902671000</v>
      </c>
      <c r="K128" s="206">
        <f t="shared" si="8"/>
        <v>8.4536535069249415E-3</v>
      </c>
      <c r="L128" s="44">
        <v>614540334000</v>
      </c>
      <c r="M128" s="44">
        <v>9747703198000</v>
      </c>
      <c r="N128" s="139">
        <f t="shared" si="12"/>
        <v>6.3044629233898836E-2</v>
      </c>
    </row>
    <row r="129" spans="1:14" ht="15.75" customHeight="1" x14ac:dyDescent="0.25">
      <c r="A129" s="48" t="str">
        <f>'X3'!B129</f>
        <v>HERO</v>
      </c>
      <c r="B129" s="49"/>
      <c r="C129" s="43">
        <v>9917</v>
      </c>
      <c r="D129" s="44">
        <v>12267782000000</v>
      </c>
      <c r="E129" s="89">
        <f t="shared" si="13"/>
        <v>8.0837758610317661E-10</v>
      </c>
      <c r="F129" s="83">
        <v>890</v>
      </c>
      <c r="G129" s="44">
        <v>929</v>
      </c>
      <c r="H129" s="87">
        <f t="shared" si="10"/>
        <v>0.9580193756727664</v>
      </c>
      <c r="I129" s="44">
        <v>296938000000</v>
      </c>
      <c r="J129" s="44">
        <f t="shared" si="11"/>
        <v>12267782000000</v>
      </c>
      <c r="K129" s="184">
        <f t="shared" si="8"/>
        <v>2.4204701387748821E-2</v>
      </c>
      <c r="L129" s="44">
        <v>2970220000000</v>
      </c>
      <c r="M129" s="44">
        <v>6054384000000</v>
      </c>
      <c r="N129" s="139">
        <f t="shared" si="12"/>
        <v>0.49058995927579091</v>
      </c>
    </row>
    <row r="130" spans="1:14" ht="15.75" customHeight="1" x14ac:dyDescent="0.25">
      <c r="A130" s="48" t="str">
        <f>'X3'!B130</f>
        <v>HEXA</v>
      </c>
      <c r="B130" s="49"/>
      <c r="C130" s="43">
        <v>1674</v>
      </c>
      <c r="D130" s="44">
        <f>424431271*O6</f>
        <v>5942462225271</v>
      </c>
      <c r="E130" s="89">
        <f t="shared" si="13"/>
        <v>2.8170141206470334E-10</v>
      </c>
      <c r="F130" s="83">
        <v>3470</v>
      </c>
      <c r="G130" s="44">
        <v>2865</v>
      </c>
      <c r="H130" s="87">
        <f t="shared" si="10"/>
        <v>1.2111692844677138</v>
      </c>
      <c r="I130" s="44">
        <v>0</v>
      </c>
      <c r="J130" s="44">
        <f t="shared" si="11"/>
        <v>5942462225271</v>
      </c>
      <c r="K130" s="211">
        <f t="shared" si="8"/>
        <v>0</v>
      </c>
      <c r="L130" s="44">
        <f>32253909*O6</f>
        <v>451586979909</v>
      </c>
      <c r="M130" s="44">
        <f>266022591*O6</f>
        <v>3724582296591</v>
      </c>
      <c r="N130" s="139">
        <f t="shared" si="12"/>
        <v>0.12124499982785297</v>
      </c>
    </row>
    <row r="131" spans="1:14" ht="15.75" customHeight="1" x14ac:dyDescent="0.25">
      <c r="A131" s="48" t="str">
        <f>'X3'!B131</f>
        <v>KREN</v>
      </c>
      <c r="B131" s="49"/>
      <c r="C131" s="43">
        <v>329</v>
      </c>
      <c r="D131" s="44">
        <v>11616266890062</v>
      </c>
      <c r="E131" s="89">
        <f t="shared" si="13"/>
        <v>2.8322352018398228E-11</v>
      </c>
      <c r="F131" s="83">
        <v>500</v>
      </c>
      <c r="G131" s="44">
        <v>189</v>
      </c>
      <c r="H131" s="87">
        <f t="shared" si="10"/>
        <v>2.6455026455026456</v>
      </c>
      <c r="I131" s="44">
        <v>21776859839</v>
      </c>
      <c r="J131" s="44">
        <f t="shared" si="11"/>
        <v>11616266890062</v>
      </c>
      <c r="K131" s="211">
        <f t="shared" si="8"/>
        <v>1.8746865963996261E-3</v>
      </c>
      <c r="L131" s="44">
        <v>165398639992</v>
      </c>
      <c r="M131" s="44">
        <v>4304816122779</v>
      </c>
      <c r="N131" s="139">
        <f t="shared" si="12"/>
        <v>3.8421766522567728E-2</v>
      </c>
    </row>
    <row r="132" spans="1:14" ht="15.75" customHeight="1" x14ac:dyDescent="0.25">
      <c r="A132" s="48" t="str">
        <f>'X3'!B132</f>
        <v>LINK</v>
      </c>
      <c r="B132" s="49"/>
      <c r="C132" s="43">
        <v>809</v>
      </c>
      <c r="D132" s="44">
        <v>3755262000000</v>
      </c>
      <c r="E132" s="89">
        <f t="shared" si="13"/>
        <v>2.154310404973075E-10</v>
      </c>
      <c r="F132" s="83">
        <v>3960</v>
      </c>
      <c r="G132" s="44">
        <v>1626</v>
      </c>
      <c r="H132" s="87">
        <f t="shared" si="10"/>
        <v>2.4354243542435423</v>
      </c>
      <c r="I132" s="44">
        <v>33973000000</v>
      </c>
      <c r="J132" s="44">
        <f t="shared" si="11"/>
        <v>3755262000000</v>
      </c>
      <c r="K132" s="211">
        <f t="shared" si="8"/>
        <v>9.046772235865301E-3</v>
      </c>
      <c r="L132" s="119">
        <v>4993913000000</v>
      </c>
      <c r="M132" s="119">
        <v>6652974000000</v>
      </c>
      <c r="N132" s="139">
        <f t="shared" si="12"/>
        <v>0.7506286662175442</v>
      </c>
    </row>
    <row r="133" spans="1:14" ht="15.75" customHeight="1" x14ac:dyDescent="0.25">
      <c r="A133" s="48" t="str">
        <f>'X3'!B133</f>
        <v>LTLS</v>
      </c>
      <c r="B133" s="49"/>
      <c r="C133" s="43">
        <v>3505</v>
      </c>
      <c r="D133" s="44">
        <v>6534734000000</v>
      </c>
      <c r="E133" s="89">
        <f t="shared" si="13"/>
        <v>5.3636460183383131E-10</v>
      </c>
      <c r="F133" s="83">
        <v>610</v>
      </c>
      <c r="G133" s="44">
        <v>1384</v>
      </c>
      <c r="H133" s="87">
        <f t="shared" si="10"/>
        <v>0.44075144508670522</v>
      </c>
      <c r="I133" s="44">
        <v>35750000000</v>
      </c>
      <c r="J133" s="44">
        <f t="shared" si="11"/>
        <v>6534734000000</v>
      </c>
      <c r="K133" s="211">
        <f t="shared" si="8"/>
        <v>5.4707659102880089E-3</v>
      </c>
      <c r="L133" s="44">
        <v>1880861000000</v>
      </c>
      <c r="M133" s="44">
        <v>5863204000000</v>
      </c>
      <c r="N133" s="139">
        <f t="shared" si="12"/>
        <v>0.32079064620640863</v>
      </c>
    </row>
    <row r="134" spans="1:14" ht="15.75" customHeight="1" x14ac:dyDescent="0.25">
      <c r="A134" s="48" t="str">
        <f>'X3'!B134</f>
        <v>MAPI</v>
      </c>
      <c r="B134" s="49"/>
      <c r="C134" s="43">
        <v>24219</v>
      </c>
      <c r="D134" s="44">
        <v>21578745000000</v>
      </c>
      <c r="E134" s="89">
        <f t="shared" si="13"/>
        <v>1.1223544279335986E-9</v>
      </c>
      <c r="F134" s="83">
        <v>1055</v>
      </c>
      <c r="G134" s="44">
        <v>444</v>
      </c>
      <c r="H134" s="87">
        <f t="shared" si="10"/>
        <v>2.3761261261261262</v>
      </c>
      <c r="I134" s="44">
        <v>298373000000</v>
      </c>
      <c r="J134" s="44">
        <f t="shared" si="11"/>
        <v>21578745000000</v>
      </c>
      <c r="K134" s="211">
        <f t="shared" si="8"/>
        <v>1.3827171135300038E-2</v>
      </c>
      <c r="L134" s="119">
        <v>3784805000000</v>
      </c>
      <c r="M134" s="119">
        <v>13937115000000</v>
      </c>
      <c r="N134" s="139">
        <f t="shared" si="12"/>
        <v>0.27156301716675224</v>
      </c>
    </row>
    <row r="135" spans="1:14" ht="15.75" customHeight="1" x14ac:dyDescent="0.25">
      <c r="A135" s="48" t="str">
        <f>'X3'!B135</f>
        <v>MNCN</v>
      </c>
      <c r="B135" s="49"/>
      <c r="C135" s="43">
        <v>7295</v>
      </c>
      <c r="D135" s="44">
        <v>8353365000000</v>
      </c>
      <c r="E135" s="89">
        <f t="shared" si="13"/>
        <v>8.7330075963399186E-10</v>
      </c>
      <c r="F135" s="83">
        <v>1630</v>
      </c>
      <c r="G135" s="44">
        <v>832</v>
      </c>
      <c r="H135" s="87">
        <f t="shared" si="10"/>
        <v>1.9591346153846154</v>
      </c>
      <c r="I135" s="44">
        <v>309833000000</v>
      </c>
      <c r="J135" s="44">
        <f t="shared" si="11"/>
        <v>8353365000000</v>
      </c>
      <c r="K135" s="184">
        <f t="shared" si="8"/>
        <v>3.7090801132238324E-2</v>
      </c>
      <c r="L135" s="44">
        <v>5682365000000</v>
      </c>
      <c r="M135" s="44">
        <v>17836430000000</v>
      </c>
      <c r="N135" s="139">
        <f t="shared" si="12"/>
        <v>0.31858196959817631</v>
      </c>
    </row>
    <row r="136" spans="1:14" ht="15.75" customHeight="1" x14ac:dyDescent="0.25">
      <c r="A136" s="48" t="str">
        <f>'X3'!B136</f>
        <v>MPMX</v>
      </c>
      <c r="B136" s="49"/>
      <c r="C136" s="43">
        <v>2242</v>
      </c>
      <c r="D136" s="44">
        <v>16818172000000</v>
      </c>
      <c r="E136" s="89">
        <f t="shared" si="13"/>
        <v>1.333081859312653E-10</v>
      </c>
      <c r="F136" s="83">
        <v>665</v>
      </c>
      <c r="G136" s="44">
        <v>1628</v>
      </c>
      <c r="H136" s="87">
        <f t="shared" si="10"/>
        <v>0.40847665847665848</v>
      </c>
      <c r="I136" s="44">
        <v>128004000000</v>
      </c>
      <c r="J136" s="44">
        <f t="shared" si="11"/>
        <v>16818172000000</v>
      </c>
      <c r="K136" s="184">
        <f t="shared" si="8"/>
        <v>7.6110530918580216E-3</v>
      </c>
      <c r="L136" s="44">
        <v>2868386000000</v>
      </c>
      <c r="M136" s="44">
        <v>9563681000000</v>
      </c>
      <c r="N136" s="139">
        <f t="shared" si="12"/>
        <v>0.29992489293609859</v>
      </c>
    </row>
    <row r="137" spans="1:14" ht="15.75" customHeight="1" x14ac:dyDescent="0.25">
      <c r="A137" s="48" t="str">
        <f>'X3'!B137</f>
        <v>SCMA</v>
      </c>
      <c r="B137" s="49"/>
      <c r="C137" s="43">
        <v>3529</v>
      </c>
      <c r="D137" s="44">
        <v>5523362497000</v>
      </c>
      <c r="E137" s="89">
        <f t="shared" si="13"/>
        <v>6.3892239589865183E-10</v>
      </c>
      <c r="F137" s="83">
        <v>1410</v>
      </c>
      <c r="G137" s="44">
        <v>392</v>
      </c>
      <c r="H137" s="87">
        <f t="shared" si="10"/>
        <v>3.5969387755102042</v>
      </c>
      <c r="I137" s="44">
        <v>48797235000</v>
      </c>
      <c r="J137" s="44">
        <f t="shared" si="11"/>
        <v>5523362497000</v>
      </c>
      <c r="K137" s="184">
        <f t="shared" si="8"/>
        <v>8.8346971661744256E-3</v>
      </c>
      <c r="L137" s="44">
        <v>1501728860000</v>
      </c>
      <c r="M137" s="44">
        <v>6716724073000</v>
      </c>
      <c r="N137" s="139">
        <f t="shared" si="12"/>
        <v>0.22358054963679017</v>
      </c>
    </row>
    <row r="138" spans="1:14" ht="15.75" customHeight="1" x14ac:dyDescent="0.25">
      <c r="A138" s="48" t="str">
        <f>'X3'!B138</f>
        <v>SDPC</v>
      </c>
      <c r="B138" s="49"/>
      <c r="C138" s="43">
        <v>1092</v>
      </c>
      <c r="D138" s="44">
        <v>2726755413484</v>
      </c>
      <c r="E138" s="89">
        <f t="shared" si="13"/>
        <v>4.0047596297048943E-10</v>
      </c>
      <c r="F138" s="83">
        <v>95</v>
      </c>
      <c r="G138" s="44">
        <v>184</v>
      </c>
      <c r="H138" s="87">
        <f t="shared" si="10"/>
        <v>0.51630434782608692</v>
      </c>
      <c r="I138" s="44">
        <v>8627983321</v>
      </c>
      <c r="J138" s="44">
        <f t="shared" si="11"/>
        <v>2726755413484</v>
      </c>
      <c r="K138" s="184">
        <f t="shared" si="8"/>
        <v>3.1641940741490809E-3</v>
      </c>
      <c r="L138" s="44">
        <v>24821572603</v>
      </c>
      <c r="M138" s="44">
        <v>1230844175984</v>
      </c>
      <c r="N138" s="139">
        <f t="shared" si="12"/>
        <v>2.0166299753708761E-2</v>
      </c>
    </row>
    <row r="139" spans="1:14" ht="15.75" customHeight="1" x14ac:dyDescent="0.25">
      <c r="A139" s="48" t="str">
        <f>'X3'!B139</f>
        <v>SILO</v>
      </c>
      <c r="B139" s="49"/>
      <c r="C139" s="43">
        <v>9831</v>
      </c>
      <c r="D139" s="44">
        <v>7017919000000</v>
      </c>
      <c r="E139" s="89">
        <f t="shared" si="13"/>
        <v>1.4008426144559377E-9</v>
      </c>
      <c r="F139" s="83">
        <v>6950</v>
      </c>
      <c r="G139" s="44">
        <v>3682</v>
      </c>
      <c r="H139" s="87">
        <f t="shared" si="10"/>
        <v>1.8875611080934276</v>
      </c>
      <c r="I139" s="44">
        <v>50304000000</v>
      </c>
      <c r="J139" s="44">
        <f t="shared" si="11"/>
        <v>7017919000000</v>
      </c>
      <c r="K139" s="184">
        <f t="shared" si="8"/>
        <v>7.1679368200174443E-3</v>
      </c>
      <c r="L139" s="44">
        <v>4170396000000</v>
      </c>
      <c r="M139" s="44">
        <v>7741782000000</v>
      </c>
      <c r="N139" s="139">
        <f t="shared" si="12"/>
        <v>0.53868682946639412</v>
      </c>
    </row>
    <row r="140" spans="1:14" ht="15.75" customHeight="1" x14ac:dyDescent="0.25">
      <c r="A140" s="48" t="str">
        <f>'X3'!B140</f>
        <v>SONA</v>
      </c>
      <c r="B140" s="49"/>
      <c r="C140" s="43">
        <v>1362</v>
      </c>
      <c r="D140" s="44">
        <v>1522938636165</v>
      </c>
      <c r="E140" s="89">
        <f t="shared" si="13"/>
        <v>8.9432362385245615E-10</v>
      </c>
      <c r="F140" s="83">
        <v>5975</v>
      </c>
      <c r="G140" s="44">
        <v>2515</v>
      </c>
      <c r="H140" s="87">
        <f t="shared" si="10"/>
        <v>2.375745526838966</v>
      </c>
      <c r="I140" s="44">
        <v>7377213781</v>
      </c>
      <c r="J140" s="44">
        <f t="shared" si="11"/>
        <v>1522938636165</v>
      </c>
      <c r="K140" s="184">
        <f t="shared" si="8"/>
        <v>4.8440650239046984E-3</v>
      </c>
      <c r="L140" s="44">
        <v>109991065884</v>
      </c>
      <c r="M140" s="44">
        <v>1110366038014</v>
      </c>
      <c r="N140" s="139">
        <f t="shared" si="12"/>
        <v>9.9058384459173435E-2</v>
      </c>
    </row>
    <row r="141" spans="1:14" ht="15.75" customHeight="1" x14ac:dyDescent="0.25">
      <c r="A141" s="48" t="str">
        <f>'X3'!B141</f>
        <v>TRIO</v>
      </c>
      <c r="B141" s="49"/>
      <c r="C141" s="43">
        <v>88</v>
      </c>
      <c r="D141" s="44">
        <v>966725371267</v>
      </c>
      <c r="E141" s="89">
        <f t="shared" si="13"/>
        <v>9.10289546706179E-11</v>
      </c>
      <c r="F141" s="83">
        <v>426</v>
      </c>
      <c r="G141" s="44">
        <v>-142</v>
      </c>
      <c r="H141" s="87">
        <f t="shared" si="10"/>
        <v>-3</v>
      </c>
      <c r="I141" s="44">
        <v>4301836353</v>
      </c>
      <c r="J141" s="44">
        <f t="shared" si="11"/>
        <v>966725371267</v>
      </c>
      <c r="K141" s="184">
        <f t="shared" si="8"/>
        <v>4.4499052997460592E-3</v>
      </c>
      <c r="L141" s="44">
        <v>20046036453</v>
      </c>
      <c r="M141" s="44">
        <v>136433406842</v>
      </c>
      <c r="N141" s="139">
        <f t="shared" si="12"/>
        <v>0.14692909102691246</v>
      </c>
    </row>
    <row r="142" spans="1:14" ht="15.75" customHeight="1" x14ac:dyDescent="0.25">
      <c r="A142" s="48" t="str">
        <f>'X3'!B142</f>
        <v>UNTR</v>
      </c>
      <c r="B142" s="49"/>
      <c r="C142" s="43">
        <v>33139</v>
      </c>
      <c r="D142" s="44">
        <v>84430478000000</v>
      </c>
      <c r="E142" s="89">
        <f t="shared" si="13"/>
        <v>3.925004427903393E-10</v>
      </c>
      <c r="F142" s="84">
        <v>21525</v>
      </c>
      <c r="G142" s="118">
        <v>16382</v>
      </c>
      <c r="H142" s="87">
        <f t="shared" si="10"/>
        <v>1.3139421316078623</v>
      </c>
      <c r="I142" s="44">
        <v>46930000000</v>
      </c>
      <c r="J142" s="44">
        <f t="shared" si="11"/>
        <v>84430478000000</v>
      </c>
      <c r="K142" s="184">
        <f t="shared" si="8"/>
        <v>5.5584193186730506E-4</v>
      </c>
      <c r="L142" s="44">
        <v>27469005000000</v>
      </c>
      <c r="M142" s="44">
        <v>111713375000000</v>
      </c>
      <c r="N142" s="139">
        <f t="shared" si="12"/>
        <v>0.245888238539029</v>
      </c>
    </row>
    <row r="143" spans="1:14" ht="15.75" customHeight="1" x14ac:dyDescent="0.25">
      <c r="A143" s="48">
        <f>'X3'!B143</f>
        <v>0</v>
      </c>
      <c r="B143" s="49"/>
      <c r="C143" s="43"/>
      <c r="D143" s="44"/>
      <c r="E143" s="89" t="e">
        <f t="shared" si="13"/>
        <v>#DIV/0!</v>
      </c>
      <c r="F143" s="83"/>
      <c r="G143" s="44"/>
      <c r="H143" s="87" t="e">
        <f t="shared" si="10"/>
        <v>#DIV/0!</v>
      </c>
      <c r="I143" s="44"/>
      <c r="J143" s="44"/>
      <c r="K143" s="184"/>
      <c r="L143" s="44"/>
      <c r="M143" s="44"/>
      <c r="N143" s="139"/>
    </row>
    <row r="144" spans="1:14" ht="15.75" customHeight="1" x14ac:dyDescent="0.25">
      <c r="A144" s="48">
        <f>'X3'!B144</f>
        <v>0</v>
      </c>
      <c r="B144" s="49"/>
      <c r="C144" s="43"/>
      <c r="D144" s="44"/>
      <c r="E144" s="89" t="e">
        <f t="shared" si="13"/>
        <v>#DIV/0!</v>
      </c>
      <c r="F144" s="83"/>
      <c r="G144" s="44"/>
      <c r="H144" s="87" t="e">
        <f t="shared" si="10"/>
        <v>#DIV/0!</v>
      </c>
      <c r="I144" s="44"/>
      <c r="J144" s="44"/>
      <c r="K144" s="184"/>
      <c r="L144" s="44"/>
      <c r="M144" s="44"/>
      <c r="N144" s="139"/>
    </row>
    <row r="145" spans="1:14" ht="15.75" customHeight="1" x14ac:dyDescent="0.25">
      <c r="A145" s="48">
        <f>'X3'!B145</f>
        <v>0</v>
      </c>
      <c r="B145" s="49"/>
      <c r="C145" s="43"/>
      <c r="D145" s="44"/>
      <c r="E145" s="89" t="e">
        <f t="shared" si="13"/>
        <v>#DIV/0!</v>
      </c>
      <c r="F145" s="83"/>
      <c r="G145" s="44"/>
      <c r="H145" s="87"/>
      <c r="I145" s="44"/>
      <c r="J145" s="44"/>
      <c r="K145" s="184"/>
      <c r="L145" s="44"/>
      <c r="M145" s="44"/>
      <c r="N145" s="139"/>
    </row>
    <row r="146" spans="1:14" ht="15.75" customHeight="1" x14ac:dyDescent="0.25">
      <c r="A146" s="48">
        <f>'X3'!B146</f>
        <v>0</v>
      </c>
      <c r="B146" s="49"/>
      <c r="C146" s="43"/>
      <c r="D146" s="44"/>
      <c r="E146" s="89" t="e">
        <f t="shared" si="13"/>
        <v>#DIV/0!</v>
      </c>
      <c r="F146" s="83"/>
      <c r="G146" s="44"/>
      <c r="H146" s="87"/>
      <c r="I146" s="44"/>
      <c r="J146" s="44"/>
      <c r="K146" s="184"/>
      <c r="L146" s="44"/>
      <c r="M146" s="44"/>
      <c r="N146" s="139"/>
    </row>
    <row r="147" spans="1:14" ht="15.75" customHeight="1" x14ac:dyDescent="0.25">
      <c r="A147" s="48"/>
      <c r="B147" s="49"/>
      <c r="C147" s="43"/>
      <c r="D147" s="44"/>
      <c r="E147" s="89" t="e">
        <f t="shared" si="13"/>
        <v>#DIV/0!</v>
      </c>
      <c r="F147" s="83"/>
      <c r="G147" s="44"/>
      <c r="H147" s="87"/>
      <c r="I147" s="44"/>
      <c r="J147" s="44"/>
      <c r="K147" s="184"/>
      <c r="L147" s="44"/>
      <c r="M147" s="44"/>
      <c r="N147" s="139"/>
    </row>
    <row r="148" spans="1:14" ht="15.75" customHeight="1" x14ac:dyDescent="0.25">
      <c r="A148" s="48"/>
      <c r="B148" s="49"/>
      <c r="C148" s="43"/>
      <c r="D148" s="44"/>
      <c r="E148" s="90"/>
      <c r="F148" s="83"/>
      <c r="G148" s="44"/>
      <c r="H148" s="87"/>
      <c r="I148" s="44"/>
      <c r="J148" s="44"/>
      <c r="K148" s="184"/>
      <c r="L148" s="44"/>
      <c r="M148" s="44"/>
      <c r="N148" s="139"/>
    </row>
    <row r="149" spans="1:14" ht="15.75" customHeight="1" x14ac:dyDescent="0.25">
      <c r="A149" s="48"/>
      <c r="B149" s="49"/>
      <c r="C149" s="43"/>
      <c r="D149" s="44"/>
      <c r="E149" s="90"/>
      <c r="F149" s="83"/>
      <c r="G149" s="44"/>
      <c r="H149" s="87"/>
      <c r="I149" s="44"/>
      <c r="J149" s="44"/>
      <c r="K149" s="184"/>
      <c r="L149" s="44"/>
      <c r="M149" s="44"/>
      <c r="N149" s="139"/>
    </row>
    <row r="150" spans="1:14" ht="15.75" customHeight="1" x14ac:dyDescent="0.25">
      <c r="A150" s="48"/>
      <c r="B150" s="49"/>
      <c r="C150" s="43"/>
      <c r="D150" s="44"/>
      <c r="E150" s="90"/>
      <c r="F150" s="83"/>
      <c r="G150" s="44"/>
      <c r="H150" s="87"/>
      <c r="I150" s="44"/>
      <c r="J150" s="44"/>
      <c r="K150" s="184"/>
      <c r="L150" s="44"/>
      <c r="M150" s="44"/>
      <c r="N150" s="139"/>
    </row>
    <row r="151" spans="1:14" ht="15.75" customHeight="1" x14ac:dyDescent="0.25">
      <c r="A151" s="48"/>
      <c r="B151" s="49"/>
      <c r="C151" s="43"/>
      <c r="D151" s="44"/>
      <c r="E151" s="90"/>
      <c r="F151" s="83"/>
      <c r="G151" s="44"/>
      <c r="H151" s="87"/>
      <c r="I151" s="44"/>
      <c r="J151" s="44"/>
      <c r="K151" s="184"/>
      <c r="L151" s="44"/>
      <c r="M151" s="44"/>
      <c r="N151" s="139"/>
    </row>
    <row r="152" spans="1:14" ht="15.75" customHeight="1" x14ac:dyDescent="0.25">
      <c r="A152" s="48"/>
      <c r="B152" s="49"/>
      <c r="C152" s="43"/>
      <c r="D152" s="44"/>
      <c r="E152" s="90"/>
      <c r="F152" s="83"/>
      <c r="G152" s="44"/>
      <c r="H152" s="87"/>
      <c r="I152" s="44"/>
      <c r="J152" s="44"/>
      <c r="K152" s="184"/>
      <c r="L152" s="44"/>
      <c r="M152" s="44"/>
      <c r="N152" s="139"/>
    </row>
    <row r="153" spans="1:14" ht="15.75" customHeight="1" x14ac:dyDescent="0.25">
      <c r="A153" s="48"/>
      <c r="B153" s="49"/>
      <c r="C153" s="43"/>
      <c r="D153" s="44"/>
      <c r="E153" s="90"/>
      <c r="F153" s="83"/>
      <c r="G153" s="44"/>
      <c r="H153" s="87"/>
      <c r="I153" s="44"/>
      <c r="J153" s="44"/>
      <c r="K153" s="184"/>
      <c r="L153" s="44"/>
      <c r="M153" s="44"/>
      <c r="N153" s="139"/>
    </row>
    <row r="154" spans="1:14" ht="15.75" customHeight="1" x14ac:dyDescent="0.25"/>
    <row r="155" spans="1:14" ht="15.75" customHeight="1" x14ac:dyDescent="0.25"/>
    <row r="156" spans="1:14" ht="15.75" customHeight="1" x14ac:dyDescent="0.25"/>
    <row r="157" spans="1:14" ht="15.75" customHeight="1" x14ac:dyDescent="0.25"/>
    <row r="158" spans="1:14" ht="15.75" customHeight="1" x14ac:dyDescent="0.25"/>
    <row r="159" spans="1:14" ht="15.75" customHeight="1" x14ac:dyDescent="0.25"/>
    <row r="160" spans="1:14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pageMargins left="0.7" right="0.7" top="0.75" bottom="0.75" header="0" footer="0"/>
  <pageSetup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406"/>
  <sheetViews>
    <sheetView workbookViewId="0">
      <pane ySplit="3" topLeftCell="A95" activePane="bottomLeft" state="frozen"/>
      <selection activeCell="M1" sqref="M1"/>
      <selection pane="bottomLeft" activeCell="R107" sqref="R107"/>
    </sheetView>
  </sheetViews>
  <sheetFormatPr defaultRowHeight="15" x14ac:dyDescent="0.2"/>
  <cols>
    <col min="1" max="1" width="9" style="45"/>
    <col min="2" max="2" width="9" style="102"/>
    <col min="3" max="3" width="23.75" style="102" hidden="1" customWidth="1"/>
    <col min="4" max="4" width="19.75" style="45" bestFit="1" customWidth="1"/>
    <col min="5" max="5" width="19.75" style="51" bestFit="1" customWidth="1"/>
    <col min="6" max="6" width="7.5" style="45" bestFit="1" customWidth="1"/>
    <col min="7" max="7" width="9.25" style="45" hidden="1" customWidth="1"/>
    <col min="8" max="8" width="0" style="45" hidden="1" customWidth="1"/>
    <col min="9" max="9" width="25.375" style="102" hidden="1" customWidth="1"/>
    <col min="10" max="11" width="19.75" style="45" bestFit="1" customWidth="1"/>
    <col min="12" max="12" width="8.5" style="45" bestFit="1" customWidth="1"/>
    <col min="13" max="13" width="9.25" style="45" hidden="1" customWidth="1"/>
    <col min="14" max="14" width="0" style="45" hidden="1" customWidth="1"/>
    <col min="15" max="15" width="23.75" style="102" hidden="1" customWidth="1"/>
    <col min="16" max="17" width="19.75" style="45" bestFit="1" customWidth="1"/>
    <col min="18" max="18" width="9.625" style="45" bestFit="1" customWidth="1"/>
    <col min="19" max="19" width="9.25" style="45" bestFit="1" customWidth="1"/>
    <col min="20" max="21" width="9" style="45"/>
    <col min="22" max="22" width="9.625" style="362" bestFit="1" customWidth="1"/>
    <col min="23" max="16384" width="9" style="45"/>
  </cols>
  <sheetData>
    <row r="2" spans="2:22" x14ac:dyDescent="0.2">
      <c r="B2" s="562" t="s">
        <v>5</v>
      </c>
      <c r="D2" s="561" t="s">
        <v>68</v>
      </c>
      <c r="E2" s="561"/>
      <c r="F2" s="561"/>
      <c r="G2" s="48"/>
      <c r="H2" s="48" t="s">
        <v>69</v>
      </c>
      <c r="I2" s="49"/>
      <c r="J2" s="414" t="s">
        <v>69</v>
      </c>
      <c r="K2" s="414"/>
      <c r="L2" s="414"/>
      <c r="M2" s="48"/>
      <c r="N2" s="48" t="s">
        <v>70</v>
      </c>
      <c r="O2" s="49"/>
      <c r="P2" s="455" t="s">
        <v>70</v>
      </c>
      <c r="Q2" s="455"/>
      <c r="R2" s="455"/>
      <c r="U2" s="45" t="s">
        <v>15</v>
      </c>
      <c r="V2" s="362">
        <v>0.22549604592301004</v>
      </c>
    </row>
    <row r="3" spans="2:22" x14ac:dyDescent="0.2">
      <c r="B3" s="562"/>
      <c r="C3" s="148" t="s">
        <v>6</v>
      </c>
      <c r="D3" s="150" t="s">
        <v>65</v>
      </c>
      <c r="E3" s="151" t="s">
        <v>66</v>
      </c>
      <c r="F3" s="150" t="s">
        <v>67</v>
      </c>
      <c r="H3" s="144" t="s">
        <v>5</v>
      </c>
      <c r="I3" s="144" t="s">
        <v>6</v>
      </c>
      <c r="J3" s="149" t="s">
        <v>65</v>
      </c>
      <c r="K3" s="149" t="s">
        <v>66</v>
      </c>
      <c r="L3" s="149" t="s">
        <v>67</v>
      </c>
      <c r="N3" s="144" t="s">
        <v>5</v>
      </c>
      <c r="O3" s="144" t="s">
        <v>6</v>
      </c>
      <c r="P3" s="153" t="s">
        <v>65</v>
      </c>
      <c r="Q3" s="153" t="s">
        <v>66</v>
      </c>
      <c r="R3" s="153" t="s">
        <v>67</v>
      </c>
      <c r="U3" s="361" t="s">
        <v>15</v>
      </c>
      <c r="V3" s="362">
        <v>0.10278117807278161</v>
      </c>
    </row>
    <row r="4" spans="2:22" x14ac:dyDescent="0.2">
      <c r="B4" s="49" t="str">
        <f>'X3'!B8</f>
        <v>AALI</v>
      </c>
      <c r="C4" s="49" t="str">
        <f>'X3'!C8</f>
        <v>ASTRA AGRO LESTARI</v>
      </c>
      <c r="D4" s="145">
        <f>'X3'!E8</f>
        <v>17305688000000</v>
      </c>
      <c r="E4" s="44">
        <v>14121374000000</v>
      </c>
      <c r="F4" s="185">
        <f t="shared" ref="F4:F67" si="0">(D4-E4)/E4</f>
        <v>0.22549604592301004</v>
      </c>
      <c r="H4" s="146" t="s">
        <v>15</v>
      </c>
      <c r="I4" s="49" t="str">
        <f t="shared" ref="I4:I35" si="1">C4</f>
        <v>ASTRA AGRO LESTARI</v>
      </c>
      <c r="J4" s="145">
        <f>'X3 (2)'!K8</f>
        <v>19084387000000</v>
      </c>
      <c r="K4" s="145">
        <f>'X3'!E8</f>
        <v>17305688000000</v>
      </c>
      <c r="L4" s="147">
        <f t="shared" ref="L4:L67" si="2">(J4-K4)/K4</f>
        <v>0.10278117807278161</v>
      </c>
      <c r="N4" s="146" t="s">
        <v>15</v>
      </c>
      <c r="O4" s="49" t="str">
        <f>I4</f>
        <v>ASTRA AGRO LESTARI</v>
      </c>
      <c r="P4" s="145">
        <f>'X3 (3)'!D8</f>
        <v>17452736000000</v>
      </c>
      <c r="Q4" s="145">
        <f>J4</f>
        <v>19084387000000</v>
      </c>
      <c r="R4" s="147">
        <f t="shared" ref="R4:R14" si="3">(P4-Q4)/Q4</f>
        <v>-8.5496641836072598E-2</v>
      </c>
      <c r="U4" s="360" t="s">
        <v>15</v>
      </c>
      <c r="V4" s="362">
        <v>-8.5496641836072598E-2</v>
      </c>
    </row>
    <row r="5" spans="2:22" x14ac:dyDescent="0.2">
      <c r="B5" s="49" t="str">
        <f>'X3'!B9</f>
        <v>BISI</v>
      </c>
      <c r="C5" s="49" t="str">
        <f>'X3'!C9</f>
        <v>BISI INTERNATIONAL</v>
      </c>
      <c r="D5" s="145">
        <f>'X3'!E9</f>
        <v>2310290000000</v>
      </c>
      <c r="E5" s="44">
        <v>1852079000000</v>
      </c>
      <c r="F5" s="185">
        <f t="shared" si="0"/>
        <v>0.24740359347522434</v>
      </c>
      <c r="H5" s="146" t="s">
        <v>24</v>
      </c>
      <c r="I5" s="49" t="str">
        <f t="shared" si="1"/>
        <v>BISI INTERNATIONAL</v>
      </c>
      <c r="J5" s="145">
        <f>'X3 (2)'!K9</f>
        <v>2265615000000</v>
      </c>
      <c r="K5" s="145">
        <f>'X3'!E9</f>
        <v>2310290000000</v>
      </c>
      <c r="L5" s="147">
        <f t="shared" si="2"/>
        <v>-1.9337399200966113E-2</v>
      </c>
      <c r="N5" s="146" t="s">
        <v>24</v>
      </c>
      <c r="O5" s="49" t="str">
        <f>I5</f>
        <v>BISI INTERNATIONAL</v>
      </c>
      <c r="P5" s="145">
        <f>'X3 (3)'!D9</f>
        <v>2272410000000</v>
      </c>
      <c r="Q5" s="145">
        <f>J5</f>
        <v>2265615000000</v>
      </c>
      <c r="R5" s="147">
        <f t="shared" si="3"/>
        <v>2.9991856515780482E-3</v>
      </c>
      <c r="U5" s="45" t="s">
        <v>718</v>
      </c>
      <c r="V5" s="362">
        <v>0.13327413257221316</v>
      </c>
    </row>
    <row r="6" spans="2:22" ht="30" x14ac:dyDescent="0.2">
      <c r="B6" s="49" t="str">
        <f>'X3'!B10</f>
        <v>UNSP</v>
      </c>
      <c r="C6" s="49" t="str">
        <f>'X3'!C10</f>
        <v>BAKRIE SUMATERA PLANTATIONS</v>
      </c>
      <c r="D6" s="145">
        <f>'X3'!E10</f>
        <v>1504817000000</v>
      </c>
      <c r="E6" s="44">
        <v>1565244000000</v>
      </c>
      <c r="F6" s="185">
        <f t="shared" si="0"/>
        <v>-3.8605482595684762E-2</v>
      </c>
      <c r="H6" s="146" t="s">
        <v>27</v>
      </c>
      <c r="I6" s="49" t="str">
        <f t="shared" si="1"/>
        <v>BAKRIE SUMATERA PLANTATIONS</v>
      </c>
      <c r="J6" s="145">
        <f>'X3 (2)'!K10</f>
        <v>1951840000000</v>
      </c>
      <c r="K6" s="145">
        <f>'X3'!E10</f>
        <v>1504817000000</v>
      </c>
      <c r="L6" s="147">
        <f t="shared" si="2"/>
        <v>0.29706137025299423</v>
      </c>
      <c r="N6" s="146" t="s">
        <v>27</v>
      </c>
      <c r="O6" s="49" t="str">
        <f>I6</f>
        <v>BAKRIE SUMATERA PLANTATIONS</v>
      </c>
      <c r="P6" s="145">
        <f>'X3 (3)'!D10</f>
        <v>1984017000000</v>
      </c>
      <c r="Q6" s="145">
        <f>J6</f>
        <v>1951840000000</v>
      </c>
      <c r="R6" s="147">
        <f t="shared" si="3"/>
        <v>1.648547012050168E-2</v>
      </c>
      <c r="U6" s="361" t="s">
        <v>718</v>
      </c>
      <c r="V6" s="362">
        <v>0.19597348055399094</v>
      </c>
    </row>
    <row r="7" spans="2:22" x14ac:dyDescent="0.2">
      <c r="B7" s="49" t="str">
        <f>'X3'!B11</f>
        <v>BWPT</v>
      </c>
      <c r="C7" s="49" t="str">
        <f>'X3'!C11</f>
        <v>PT EAGLE HIGH PLANTATIONS</v>
      </c>
      <c r="D7" s="145">
        <f>'X3'!E11</f>
        <v>3045954000000</v>
      </c>
      <c r="E7" s="44">
        <v>2541763000000</v>
      </c>
      <c r="F7" s="185">
        <f t="shared" si="0"/>
        <v>0.1983627112362561</v>
      </c>
      <c r="H7" s="41" t="s">
        <v>57</v>
      </c>
      <c r="I7" s="49" t="str">
        <f t="shared" si="1"/>
        <v>PT EAGLE HIGH PLANTATIONS</v>
      </c>
      <c r="J7" s="145">
        <f>'X3 (2)'!K11</f>
        <v>3083389000000</v>
      </c>
      <c r="K7" s="145">
        <f>'X3'!E11</f>
        <v>3045954000000</v>
      </c>
      <c r="L7" s="147">
        <f t="shared" si="2"/>
        <v>1.2290073980106068E-2</v>
      </c>
      <c r="N7" s="41" t="s">
        <v>57</v>
      </c>
      <c r="O7" s="49" t="str">
        <f>I7</f>
        <v>PT EAGLE HIGH PLANTATIONS</v>
      </c>
      <c r="P7" s="145">
        <f>'X3 (3)'!D11</f>
        <v>2512784000000</v>
      </c>
      <c r="Q7" s="145">
        <f>J7</f>
        <v>3083389000000</v>
      </c>
      <c r="R7" s="147">
        <f t="shared" si="3"/>
        <v>-0.18505774003863931</v>
      </c>
      <c r="U7" s="360" t="s">
        <v>718</v>
      </c>
      <c r="V7" s="362">
        <v>-0.26006970022200748</v>
      </c>
    </row>
    <row r="8" spans="2:22" x14ac:dyDescent="0.2">
      <c r="B8" s="49" t="str">
        <f>'X3'!B12</f>
        <v>DSNG</v>
      </c>
      <c r="C8" s="49" t="str">
        <f>'X3'!C12</f>
        <v>DHARMA SATYA NUSANTARA</v>
      </c>
      <c r="D8" s="145">
        <f>'X3'!E12</f>
        <v>5159911000000</v>
      </c>
      <c r="E8" s="44">
        <v>3878808000000</v>
      </c>
      <c r="F8" s="185">
        <f t="shared" si="0"/>
        <v>0.33028265384623318</v>
      </c>
      <c r="H8" s="49" t="str">
        <f t="shared" ref="H8:H39" si="4">B8</f>
        <v>DSNG</v>
      </c>
      <c r="I8" s="49" t="str">
        <f t="shared" si="1"/>
        <v>DHARMA SATYA NUSANTARA</v>
      </c>
      <c r="J8" s="145">
        <f>'X3 (2)'!K12</f>
        <v>4761805000000</v>
      </c>
      <c r="K8" s="145">
        <f>'X3'!E12</f>
        <v>5159911000000</v>
      </c>
      <c r="L8" s="147">
        <f t="shared" si="2"/>
        <v>-7.715365633244449E-2</v>
      </c>
      <c r="N8" s="48" t="str">
        <f>H8</f>
        <v>DSNG</v>
      </c>
      <c r="O8" s="49" t="str">
        <f>I8</f>
        <v>DHARMA SATYA NUSANTARA</v>
      </c>
      <c r="P8" s="145">
        <f>'X3 (3)'!D12</f>
        <v>5736684000000</v>
      </c>
      <c r="Q8" s="145">
        <f>J8</f>
        <v>4761805000000</v>
      </c>
      <c r="R8" s="147">
        <f t="shared" si="3"/>
        <v>0.20472887907001652</v>
      </c>
      <c r="U8" s="45" t="s">
        <v>598</v>
      </c>
      <c r="V8" s="362">
        <v>0.68728295732111777</v>
      </c>
    </row>
    <row r="9" spans="2:22" ht="30" x14ac:dyDescent="0.2">
      <c r="B9" s="49" t="str">
        <f>'X3'!B13</f>
        <v>LSIP</v>
      </c>
      <c r="C9" s="49" t="str">
        <f>'X3'!C13</f>
        <v>PT PP LONDON SUMATERA INDONESIA</v>
      </c>
      <c r="D9" s="145">
        <f>'X3'!E13</f>
        <v>4738022000000</v>
      </c>
      <c r="E9" s="44">
        <v>3847669000000</v>
      </c>
      <c r="F9" s="185">
        <f t="shared" si="0"/>
        <v>0.23140062203895398</v>
      </c>
      <c r="H9" s="49" t="str">
        <f t="shared" si="4"/>
        <v>LSIP</v>
      </c>
      <c r="I9" s="49" t="str">
        <f t="shared" si="1"/>
        <v>PT PP LONDON SUMATERA INDONESIA</v>
      </c>
      <c r="J9" s="145">
        <f>'X3 (2)'!K13</f>
        <v>4019846000000</v>
      </c>
      <c r="K9" s="145">
        <f>'X3'!E13</f>
        <v>4738022000000</v>
      </c>
      <c r="L9" s="147">
        <f t="shared" si="2"/>
        <v>-0.15157717714269794</v>
      </c>
      <c r="N9" s="48" t="str">
        <f t="shared" ref="N9:N69" si="5">H9</f>
        <v>LSIP</v>
      </c>
      <c r="O9" s="49" t="str">
        <f t="shared" ref="O9:O69" si="6">I9</f>
        <v>PT PP LONDON SUMATERA INDONESIA</v>
      </c>
      <c r="P9" s="145">
        <f>'X3 (3)'!D13</f>
        <v>3699439000000</v>
      </c>
      <c r="Q9" s="145">
        <f t="shared" ref="Q9:Q72" si="7">J9</f>
        <v>4019846000000</v>
      </c>
      <c r="R9" s="147">
        <f t="shared" si="3"/>
        <v>-7.9706287255780439E-2</v>
      </c>
      <c r="U9" s="361" t="s">
        <v>598</v>
      </c>
      <c r="V9" s="362">
        <v>0.23069360344553613</v>
      </c>
    </row>
    <row r="10" spans="2:22" x14ac:dyDescent="0.2">
      <c r="B10" s="49" t="str">
        <f>'X3'!B14</f>
        <v>SGRO</v>
      </c>
      <c r="C10" s="49" t="str">
        <f>'X3'!C14</f>
        <v>SAMPOERNA AGRO TBK</v>
      </c>
      <c r="D10" s="145">
        <f>'X3'!E14</f>
        <v>3616482911000</v>
      </c>
      <c r="E10" s="44">
        <v>2915224840000</v>
      </c>
      <c r="F10" s="185">
        <f t="shared" si="0"/>
        <v>0.24055025237778915</v>
      </c>
      <c r="H10" s="49" t="str">
        <f t="shared" si="4"/>
        <v>SGRO</v>
      </c>
      <c r="I10" s="49" t="str">
        <f t="shared" si="1"/>
        <v>SAMPOERNA AGRO TBK</v>
      </c>
      <c r="J10" s="145">
        <f>'X3 (2)'!K14</f>
        <v>3207181767000</v>
      </c>
      <c r="K10" s="145">
        <f>'X3'!E14</f>
        <v>3616482911000</v>
      </c>
      <c r="L10" s="147">
        <f t="shared" si="2"/>
        <v>-0.1131765735032392</v>
      </c>
      <c r="N10" s="48" t="str">
        <f t="shared" si="5"/>
        <v>SGRO</v>
      </c>
      <c r="O10" s="49" t="str">
        <f t="shared" si="6"/>
        <v>SAMPOERNA AGRO TBK</v>
      </c>
      <c r="P10" s="145">
        <f>'X3 (3)'!D14</f>
        <v>3268127326000</v>
      </c>
      <c r="Q10" s="145">
        <f t="shared" si="7"/>
        <v>3207181767000</v>
      </c>
      <c r="R10" s="147">
        <f t="shared" si="3"/>
        <v>1.9002839074197069E-2</v>
      </c>
      <c r="U10" s="360" t="s">
        <v>598</v>
      </c>
      <c r="V10" s="362">
        <v>5.9559562515300798E-2</v>
      </c>
    </row>
    <row r="11" spans="2:22" ht="30" x14ac:dyDescent="0.2">
      <c r="B11" s="49" t="str">
        <f>'X3'!B15</f>
        <v>SIMP</v>
      </c>
      <c r="C11" s="49" t="str">
        <f>'X3'!C15</f>
        <v>SALIM IVOMAS PRATAMA Tbk</v>
      </c>
      <c r="D11" s="145">
        <f>'X3'!E15</f>
        <v>15826648000000</v>
      </c>
      <c r="E11" s="44">
        <v>14530938000000</v>
      </c>
      <c r="F11" s="185">
        <f t="shared" si="0"/>
        <v>8.9169054330835357E-2</v>
      </c>
      <c r="H11" s="49" t="str">
        <f t="shared" si="4"/>
        <v>SIMP</v>
      </c>
      <c r="I11" s="49" t="str">
        <f t="shared" si="1"/>
        <v>SALIM IVOMAS PRATAMA Tbk</v>
      </c>
      <c r="J11" s="145">
        <f>'X3 (2)'!K15</f>
        <v>14059450000000</v>
      </c>
      <c r="K11" s="145">
        <f>'X3'!E15</f>
        <v>15826648000000</v>
      </c>
      <c r="L11" s="147">
        <f t="shared" si="2"/>
        <v>-0.11165965149411297</v>
      </c>
      <c r="N11" s="48" t="str">
        <f t="shared" si="5"/>
        <v>SIMP</v>
      </c>
      <c r="O11" s="49" t="str">
        <f t="shared" si="6"/>
        <v>SALIM IVOMAS PRATAMA Tbk</v>
      </c>
      <c r="P11" s="145">
        <f>'X3 (3)'!D15</f>
        <v>13650388000000</v>
      </c>
      <c r="Q11" s="145">
        <f t="shared" si="7"/>
        <v>14059450000000</v>
      </c>
      <c r="R11" s="147">
        <f t="shared" si="3"/>
        <v>-2.9095163751071344E-2</v>
      </c>
      <c r="U11" s="45" t="s">
        <v>340</v>
      </c>
      <c r="V11" s="362">
        <v>0.29281877050934052</v>
      </c>
    </row>
    <row r="12" spans="2:22" x14ac:dyDescent="0.2">
      <c r="B12" s="49" t="str">
        <f>'X3'!B16</f>
        <v>SSMS</v>
      </c>
      <c r="C12" s="49" t="str">
        <f>'X3'!C16</f>
        <v>SAWIT SUMBERMAS SARANA</v>
      </c>
      <c r="D12" s="145">
        <f>'X3'!E16</f>
        <v>3240831859000</v>
      </c>
      <c r="E12" s="44">
        <v>2722677818000</v>
      </c>
      <c r="F12" s="185">
        <f t="shared" si="0"/>
        <v>0.19031045009233627</v>
      </c>
      <c r="H12" s="49" t="str">
        <f t="shared" si="4"/>
        <v>SSMS</v>
      </c>
      <c r="I12" s="49" t="str">
        <f t="shared" si="1"/>
        <v>SAWIT SUMBERMAS SARANA</v>
      </c>
      <c r="J12" s="145">
        <f>'X3 (2)'!K16</f>
        <v>3710780545000</v>
      </c>
      <c r="K12" s="145">
        <f>'X3'!E16</f>
        <v>3240831859000</v>
      </c>
      <c r="L12" s="147">
        <f t="shared" si="2"/>
        <v>0.14500866025953246</v>
      </c>
      <c r="N12" s="48" t="str">
        <f t="shared" si="5"/>
        <v>SSMS</v>
      </c>
      <c r="O12" s="49" t="str">
        <f t="shared" si="6"/>
        <v>SAWIT SUMBERMAS SARANA</v>
      </c>
      <c r="P12" s="145">
        <f>'X3 (3)'!D16</f>
        <v>3277806795000</v>
      </c>
      <c r="Q12" s="145">
        <f t="shared" si="7"/>
        <v>3710780545000</v>
      </c>
      <c r="R12" s="147">
        <f t="shared" si="3"/>
        <v>-0.11667996658638298</v>
      </c>
      <c r="U12" s="361" t="s">
        <v>340</v>
      </c>
      <c r="V12" s="362">
        <v>0.18714396651730394</v>
      </c>
    </row>
    <row r="13" spans="2:22" x14ac:dyDescent="0.2">
      <c r="B13" s="49" t="str">
        <f>'X3'!B17</f>
        <v>BUDI</v>
      </c>
      <c r="C13" s="49" t="str">
        <f>'X3'!C17</f>
        <v>BUDI STARCH &amp; SWEETENER</v>
      </c>
      <c r="D13" s="145">
        <f>'X3'!E17</f>
        <v>2510578000000</v>
      </c>
      <c r="E13" s="44">
        <v>2467553000000</v>
      </c>
      <c r="F13" s="185">
        <f t="shared" si="0"/>
        <v>1.7436302280032082E-2</v>
      </c>
      <c r="H13" s="49" t="str">
        <f t="shared" si="4"/>
        <v>BUDI</v>
      </c>
      <c r="I13" s="49" t="str">
        <f t="shared" si="1"/>
        <v>BUDI STARCH &amp; SWEETENER</v>
      </c>
      <c r="J13" s="145">
        <f>'X3 (2)'!K17</f>
        <v>2647193000000</v>
      </c>
      <c r="K13" s="145">
        <f>'X3'!E17</f>
        <v>2510578000000</v>
      </c>
      <c r="L13" s="147">
        <f t="shared" si="2"/>
        <v>5.4415756052988595E-2</v>
      </c>
      <c r="N13" s="48" t="str">
        <f t="shared" si="5"/>
        <v>BUDI</v>
      </c>
      <c r="O13" s="49" t="str">
        <f t="shared" si="6"/>
        <v>BUDI STARCH &amp; SWEETENER</v>
      </c>
      <c r="P13" s="145">
        <f>'X3 (3)'!D17</f>
        <v>3003768000000</v>
      </c>
      <c r="Q13" s="145">
        <f t="shared" si="7"/>
        <v>2647193000000</v>
      </c>
      <c r="R13" s="147">
        <f t="shared" si="3"/>
        <v>0.13469928335410375</v>
      </c>
      <c r="U13" s="360" t="s">
        <v>340</v>
      </c>
      <c r="V13" s="362">
        <v>-7.7787334676545056E-2</v>
      </c>
    </row>
    <row r="14" spans="2:22" x14ac:dyDescent="0.2">
      <c r="B14" s="49" t="str">
        <f>'X3'!B18</f>
        <v>CEKA</v>
      </c>
      <c r="C14" s="49" t="str">
        <f>'X3'!C18</f>
        <v>WILMAR CAHAYA INDONESIA</v>
      </c>
      <c r="D14" s="145">
        <f>'X3'!E18</f>
        <v>4257738486908</v>
      </c>
      <c r="E14" s="44">
        <v>4115541761173</v>
      </c>
      <c r="F14" s="185">
        <f t="shared" si="0"/>
        <v>3.4551156077801889E-2</v>
      </c>
      <c r="H14" s="49" t="str">
        <f t="shared" si="4"/>
        <v>CEKA</v>
      </c>
      <c r="I14" s="49" t="str">
        <f t="shared" si="1"/>
        <v>WILMAR CAHAYA INDONESIA</v>
      </c>
      <c r="J14" s="145">
        <f>'X3 (2)'!K18</f>
        <v>3629327583572</v>
      </c>
      <c r="K14" s="145">
        <f>'X3'!E18</f>
        <v>4257738486908</v>
      </c>
      <c r="L14" s="147">
        <f t="shared" si="2"/>
        <v>-0.14759264930626503</v>
      </c>
      <c r="N14" s="48" t="str">
        <f t="shared" si="5"/>
        <v>CEKA</v>
      </c>
      <c r="O14" s="49" t="str">
        <f t="shared" si="6"/>
        <v>WILMAR CAHAYA INDONESIA</v>
      </c>
      <c r="P14" s="145">
        <f>'X3 (3)'!D18</f>
        <v>3120937098980</v>
      </c>
      <c r="Q14" s="145">
        <f t="shared" si="7"/>
        <v>3629327583572</v>
      </c>
      <c r="R14" s="147">
        <f t="shared" si="3"/>
        <v>-0.1400784230371511</v>
      </c>
      <c r="U14" s="45" t="s">
        <v>723</v>
      </c>
      <c r="V14" s="362">
        <v>0.2021578489456734</v>
      </c>
    </row>
    <row r="15" spans="2:22" x14ac:dyDescent="0.2">
      <c r="B15" s="49" t="str">
        <f>'X3'!B19</f>
        <v>DVLA</v>
      </c>
      <c r="C15" s="49" t="str">
        <f>'X3'!C19</f>
        <v>DARYA VARIA LABORATORIA</v>
      </c>
      <c r="D15" s="145">
        <f>'X3'!E19</f>
        <v>1575647308000</v>
      </c>
      <c r="E15" s="44">
        <v>1451356680000</v>
      </c>
      <c r="F15" s="185">
        <f t="shared" si="0"/>
        <v>8.5637548448807221E-2</v>
      </c>
      <c r="H15" s="49" t="str">
        <f t="shared" si="4"/>
        <v>DVLA</v>
      </c>
      <c r="I15" s="49" t="str">
        <f t="shared" si="1"/>
        <v>DARYA VARIA LABORATORIA</v>
      </c>
      <c r="J15" s="145">
        <f>'X3 (2)'!K19</f>
        <v>1699657296000</v>
      </c>
      <c r="K15" s="145">
        <f>'X3'!E19</f>
        <v>1575647308000</v>
      </c>
      <c r="L15" s="147">
        <f t="shared" si="2"/>
        <v>7.8704153759770204E-2</v>
      </c>
      <c r="N15" s="48" t="str">
        <f t="shared" si="5"/>
        <v>DVLA</v>
      </c>
      <c r="O15" s="49" t="str">
        <f t="shared" si="6"/>
        <v>DARYA VARIA LABORATORIA</v>
      </c>
      <c r="P15" s="145">
        <f>'X3 (3)'!D19</f>
        <v>1813020278000</v>
      </c>
      <c r="Q15" s="145">
        <f t="shared" si="7"/>
        <v>1699657296000</v>
      </c>
      <c r="R15" s="145">
        <f t="shared" ref="R15:R78" si="8">(P15-Q15)/Q15</f>
        <v>6.6697552657697654E-2</v>
      </c>
      <c r="U15" s="361" t="s">
        <v>723</v>
      </c>
      <c r="V15" s="362">
        <v>0.28763271683785674</v>
      </c>
    </row>
    <row r="16" spans="2:22" x14ac:dyDescent="0.2">
      <c r="B16" s="49" t="str">
        <f>'X3'!B20</f>
        <v>GGRM</v>
      </c>
      <c r="C16" s="49" t="str">
        <f>'X3'!C20</f>
        <v>PT GUDANG GARAM</v>
      </c>
      <c r="D16" s="145">
        <f>'X3'!E20</f>
        <v>83305925000000</v>
      </c>
      <c r="E16" s="44">
        <v>76274147000000</v>
      </c>
      <c r="F16" s="185">
        <f t="shared" si="0"/>
        <v>9.2190844166372646E-2</v>
      </c>
      <c r="H16" s="49" t="str">
        <f t="shared" si="4"/>
        <v>GGRM</v>
      </c>
      <c r="I16" s="49" t="str">
        <f t="shared" si="1"/>
        <v>PT GUDANG GARAM</v>
      </c>
      <c r="J16" s="145">
        <f>'X3 (2)'!K20</f>
        <v>95707663000000</v>
      </c>
      <c r="K16" s="145">
        <f>'X3'!E20</f>
        <v>83305925000000</v>
      </c>
      <c r="L16" s="147">
        <f t="shared" si="2"/>
        <v>0.14886981928356235</v>
      </c>
      <c r="N16" s="48" t="str">
        <f t="shared" si="5"/>
        <v>GGRM</v>
      </c>
      <c r="O16" s="49" t="str">
        <f t="shared" si="6"/>
        <v>PT GUDANG GARAM</v>
      </c>
      <c r="P16" s="145">
        <f>'X3 (3)'!D20</f>
        <v>110523819000000</v>
      </c>
      <c r="Q16" s="145">
        <f t="shared" si="7"/>
        <v>95707663000000</v>
      </c>
      <c r="R16" s="147">
        <f t="shared" si="8"/>
        <v>0.15480637114710449</v>
      </c>
      <c r="U16" s="360" t="s">
        <v>723</v>
      </c>
      <c r="V16" s="362">
        <v>-7.8371634504635218E-2</v>
      </c>
    </row>
    <row r="17" spans="2:22" ht="30" x14ac:dyDescent="0.2">
      <c r="B17" s="49" t="str">
        <f>'X3'!B21</f>
        <v>HMSP</v>
      </c>
      <c r="C17" s="49" t="str">
        <f>'X3'!C21</f>
        <v>PT HANJAYA MANDALA SAMPOERNA</v>
      </c>
      <c r="D17" s="145">
        <f>'X3'!E21</f>
        <v>99091484000000</v>
      </c>
      <c r="E17" s="44">
        <v>95466657000000</v>
      </c>
      <c r="F17" s="185">
        <f t="shared" si="0"/>
        <v>3.7969560408928953E-2</v>
      </c>
      <c r="H17" s="49" t="str">
        <f t="shared" si="4"/>
        <v>HMSP</v>
      </c>
      <c r="I17" s="49" t="str">
        <f t="shared" si="1"/>
        <v>PT HANJAYA MANDALA SAMPOERNA</v>
      </c>
      <c r="J17" s="145">
        <f>'X3 (2)'!K21</f>
        <v>106741891000000</v>
      </c>
      <c r="K17" s="145">
        <f>'X3'!E21</f>
        <v>99091484000000</v>
      </c>
      <c r="L17" s="147">
        <f t="shared" si="2"/>
        <v>7.7205494268306654E-2</v>
      </c>
      <c r="N17" s="48" t="str">
        <f t="shared" si="5"/>
        <v>HMSP</v>
      </c>
      <c r="O17" s="49" t="str">
        <f t="shared" si="6"/>
        <v>PT HANJAYA MANDALA SAMPOERNA</v>
      </c>
      <c r="P17" s="145">
        <f>'X3 (3)'!D21</f>
        <v>106055176000000</v>
      </c>
      <c r="Q17" s="145">
        <f t="shared" si="7"/>
        <v>106741891000000</v>
      </c>
      <c r="R17" s="147">
        <f t="shared" si="8"/>
        <v>-6.433416099027138E-3</v>
      </c>
      <c r="U17" s="45" t="s">
        <v>402</v>
      </c>
      <c r="V17" s="362">
        <v>4.3424474533944671E-2</v>
      </c>
    </row>
    <row r="18" spans="2:22" ht="30" x14ac:dyDescent="0.2">
      <c r="B18" s="49" t="str">
        <f>'X3'!B22</f>
        <v>ICBP</v>
      </c>
      <c r="C18" s="49" t="str">
        <f>'X3'!C22</f>
        <v>INDOFOOD CBP SUKSES MAKMUR</v>
      </c>
      <c r="D18" s="145">
        <f>'X3'!E22</f>
        <v>35606593000000</v>
      </c>
      <c r="E18" s="44">
        <v>34375236000000</v>
      </c>
      <c r="F18" s="185">
        <f t="shared" si="0"/>
        <v>3.582104861767349E-2</v>
      </c>
      <c r="H18" s="49" t="str">
        <f t="shared" si="4"/>
        <v>ICBP</v>
      </c>
      <c r="I18" s="49" t="str">
        <f t="shared" si="1"/>
        <v>INDOFOOD CBP SUKSES MAKMUR</v>
      </c>
      <c r="J18" s="145">
        <f>'X3 (2)'!K22</f>
        <v>38413407000000</v>
      </c>
      <c r="K18" s="145">
        <f>'X3'!E22</f>
        <v>35606593000000</v>
      </c>
      <c r="L18" s="147">
        <f t="shared" si="2"/>
        <v>7.882849111679964E-2</v>
      </c>
      <c r="N18" s="48" t="str">
        <f t="shared" si="5"/>
        <v>ICBP</v>
      </c>
      <c r="O18" s="49" t="str">
        <f t="shared" si="6"/>
        <v>INDOFOOD CBP SUKSES MAKMUR</v>
      </c>
      <c r="P18" s="145">
        <f>'X3 (3)'!D22</f>
        <v>42296703000000</v>
      </c>
      <c r="Q18" s="145">
        <f t="shared" si="7"/>
        <v>38413407000000</v>
      </c>
      <c r="R18" s="147">
        <f t="shared" si="8"/>
        <v>0.10109220460450176</v>
      </c>
      <c r="U18" s="361" t="s">
        <v>402</v>
      </c>
      <c r="V18" s="362">
        <v>0.1434639691120804</v>
      </c>
    </row>
    <row r="19" spans="2:22" ht="30" x14ac:dyDescent="0.2">
      <c r="B19" s="49" t="str">
        <f>'X3'!B23</f>
        <v>INDF</v>
      </c>
      <c r="C19" s="49" t="str">
        <f>'X3'!C23</f>
        <v>PT INDOFOOD SUKSES MAKMUR</v>
      </c>
      <c r="D19" s="145">
        <f>'X3'!E23</f>
        <v>70186618000000</v>
      </c>
      <c r="E19" s="44">
        <v>66659484000000</v>
      </c>
      <c r="F19" s="185">
        <f t="shared" si="0"/>
        <v>5.2912710815463261E-2</v>
      </c>
      <c r="H19" s="49" t="str">
        <f t="shared" si="4"/>
        <v>INDF</v>
      </c>
      <c r="I19" s="49" t="str">
        <f t="shared" si="1"/>
        <v>PT INDOFOOD SUKSES MAKMUR</v>
      </c>
      <c r="J19" s="145">
        <f>'X3 (2)'!K23</f>
        <v>73394728000000</v>
      </c>
      <c r="K19" s="145">
        <f>'X3'!E23</f>
        <v>70186618000000</v>
      </c>
      <c r="L19" s="147">
        <f t="shared" si="2"/>
        <v>4.5708285872956583E-2</v>
      </c>
      <c r="N19" s="48" t="str">
        <f t="shared" si="5"/>
        <v>INDF</v>
      </c>
      <c r="O19" s="49" t="str">
        <f t="shared" si="6"/>
        <v>PT INDOFOOD SUKSES MAKMUR</v>
      </c>
      <c r="P19" s="145">
        <f>'X3 (3)'!D23</f>
        <v>76592955000000</v>
      </c>
      <c r="Q19" s="145">
        <f t="shared" si="7"/>
        <v>73394728000000</v>
      </c>
      <c r="R19" s="147">
        <f t="shared" si="8"/>
        <v>4.3575704783591539E-2</v>
      </c>
      <c r="U19" s="360" t="s">
        <v>402</v>
      </c>
      <c r="V19" s="362">
        <v>-3.4543540308899182E-2</v>
      </c>
    </row>
    <row r="20" spans="2:22" x14ac:dyDescent="0.2">
      <c r="B20" s="49" t="str">
        <f>'X3'!B24</f>
        <v>KICI</v>
      </c>
      <c r="C20" s="49" t="str">
        <f>'X3'!C24</f>
        <v>PT KEDAUNG INDAH CAN</v>
      </c>
      <c r="D20" s="145">
        <f>'X3'!E24</f>
        <v>113414715049</v>
      </c>
      <c r="E20" s="44">
        <v>99382027031</v>
      </c>
      <c r="F20" s="185">
        <f t="shared" si="0"/>
        <v>0.14119945464206338</v>
      </c>
      <c r="H20" s="49" t="str">
        <f t="shared" si="4"/>
        <v>KICI</v>
      </c>
      <c r="I20" s="49" t="str">
        <f t="shared" si="1"/>
        <v>PT KEDAUNG INDAH CAN</v>
      </c>
      <c r="J20" s="145">
        <f>'X3 (2)'!K24</f>
        <v>86916161329</v>
      </c>
      <c r="K20" s="145">
        <f>'X3'!E24</f>
        <v>113414715049</v>
      </c>
      <c r="L20" s="147">
        <f t="shared" si="2"/>
        <v>-0.2336429951664693</v>
      </c>
      <c r="N20" s="48" t="str">
        <f t="shared" si="5"/>
        <v>KICI</v>
      </c>
      <c r="O20" s="49" t="str">
        <f t="shared" si="6"/>
        <v>PT KEDAUNG INDAH CAN</v>
      </c>
      <c r="P20" s="145">
        <f>'X3 (3)'!D24</f>
        <v>91061314601</v>
      </c>
      <c r="Q20" s="145">
        <f t="shared" si="7"/>
        <v>86916161329</v>
      </c>
      <c r="R20" s="147">
        <f t="shared" si="8"/>
        <v>4.7691398338561342E-2</v>
      </c>
      <c r="U20" s="45" t="s">
        <v>727</v>
      </c>
      <c r="V20" s="362">
        <v>9.5493283411626523E-2</v>
      </c>
    </row>
    <row r="21" spans="2:22" x14ac:dyDescent="0.2">
      <c r="B21" s="49" t="str">
        <f>'X3'!B25</f>
        <v>KLBF</v>
      </c>
      <c r="C21" s="49" t="str">
        <f>'X3'!C25</f>
        <v>PT KALBE FARMA</v>
      </c>
      <c r="D21" s="145">
        <f>'X3'!E25</f>
        <v>20182120166616</v>
      </c>
      <c r="E21" s="44">
        <v>19374230957505</v>
      </c>
      <c r="F21" s="185">
        <f t="shared" si="0"/>
        <v>4.1699162711697095E-2</v>
      </c>
      <c r="H21" s="49" t="str">
        <f t="shared" si="4"/>
        <v>KLBF</v>
      </c>
      <c r="I21" s="49" t="str">
        <f t="shared" si="1"/>
        <v>PT KALBE FARMA</v>
      </c>
      <c r="J21" s="145">
        <f>'X3 (2)'!K25</f>
        <v>21074306186027</v>
      </c>
      <c r="K21" s="145">
        <f>'X3'!E25</f>
        <v>20182120166616</v>
      </c>
      <c r="L21" s="147">
        <f t="shared" si="2"/>
        <v>4.4206753901247613E-2</v>
      </c>
      <c r="N21" s="48" t="str">
        <f t="shared" si="5"/>
        <v>KLBF</v>
      </c>
      <c r="O21" s="49" t="str">
        <f t="shared" si="6"/>
        <v>PT KALBE FARMA</v>
      </c>
      <c r="P21" s="145">
        <f>'X3 (3)'!D25</f>
        <v>22633476361038</v>
      </c>
      <c r="Q21" s="145">
        <f t="shared" si="7"/>
        <v>21074306186027</v>
      </c>
      <c r="R21" s="147">
        <f t="shared" si="8"/>
        <v>7.3984413116517406E-2</v>
      </c>
      <c r="U21" s="361" t="s">
        <v>727</v>
      </c>
      <c r="V21" s="362">
        <v>8.7080622253646114E-2</v>
      </c>
    </row>
    <row r="22" spans="2:22" x14ac:dyDescent="0.2">
      <c r="B22" s="49" t="str">
        <f>'X3'!B26</f>
        <v>MBTO</v>
      </c>
      <c r="C22" s="49" t="str">
        <f>'X3'!C26</f>
        <v>PT MARTINA BERTO</v>
      </c>
      <c r="D22" s="145">
        <f>'X3'!E26</f>
        <v>731577343628</v>
      </c>
      <c r="E22" s="44">
        <v>685443920925</v>
      </c>
      <c r="F22" s="185">
        <f t="shared" si="0"/>
        <v>6.7304445038688779E-2</v>
      </c>
      <c r="H22" s="49" t="str">
        <f t="shared" si="4"/>
        <v>MBTO</v>
      </c>
      <c r="I22" s="49" t="str">
        <f t="shared" si="1"/>
        <v>PT MARTINA BERTO</v>
      </c>
      <c r="J22" s="145">
        <f>'X3 (2)'!K26</f>
        <v>502517714607</v>
      </c>
      <c r="K22" s="145">
        <f>'X3'!E26</f>
        <v>731577343628</v>
      </c>
      <c r="L22" s="147">
        <f t="shared" si="2"/>
        <v>-0.31310377640327064</v>
      </c>
      <c r="N22" s="48" t="str">
        <f t="shared" si="5"/>
        <v>MBTO</v>
      </c>
      <c r="O22" s="49" t="str">
        <f t="shared" si="6"/>
        <v>PT MARTINA BERTO</v>
      </c>
      <c r="P22" s="145">
        <f>'X3 (3)'!D26</f>
        <v>537567605097</v>
      </c>
      <c r="Q22" s="145">
        <f t="shared" si="7"/>
        <v>502517714607</v>
      </c>
      <c r="R22" s="147">
        <f t="shared" si="8"/>
        <v>6.9748567008053014E-2</v>
      </c>
      <c r="U22" s="360" t="s">
        <v>727</v>
      </c>
      <c r="V22" s="362">
        <v>9.1708023842027156E-2</v>
      </c>
    </row>
    <row r="23" spans="2:22" x14ac:dyDescent="0.2">
      <c r="B23" s="49" t="str">
        <f>'X3'!B27</f>
        <v>KINO</v>
      </c>
      <c r="C23" s="49" t="str">
        <f>'X3'!C27</f>
        <v>PT KINO INDONESIA</v>
      </c>
      <c r="D23" s="145">
        <f>'X3'!E27</f>
        <v>3160637269263</v>
      </c>
      <c r="E23" s="44">
        <v>3493028761680</v>
      </c>
      <c r="F23" s="185">
        <f t="shared" si="0"/>
        <v>-9.5158532922338057E-2</v>
      </c>
      <c r="H23" s="49" t="str">
        <f t="shared" si="4"/>
        <v>KINO</v>
      </c>
      <c r="I23" s="49" t="str">
        <f t="shared" si="1"/>
        <v>PT KINO INDONESIA</v>
      </c>
      <c r="J23" s="145">
        <f>'X3 (2)'!K27</f>
        <v>3611694059699</v>
      </c>
      <c r="K23" s="145">
        <f>'X3'!E27</f>
        <v>3160637269263</v>
      </c>
      <c r="L23" s="147">
        <f t="shared" si="2"/>
        <v>0.14271071053375822</v>
      </c>
      <c r="N23" s="48" t="str">
        <f t="shared" si="5"/>
        <v>KINO</v>
      </c>
      <c r="O23" s="49" t="str">
        <f t="shared" si="6"/>
        <v>PT KINO INDONESIA</v>
      </c>
      <c r="P23" s="145">
        <f>'X3 (3)'!D27</f>
        <v>467886863882</v>
      </c>
      <c r="Q23" s="145">
        <f t="shared" si="7"/>
        <v>3611694059699</v>
      </c>
      <c r="R23" s="147">
        <f t="shared" si="8"/>
        <v>-0.87045224314459402</v>
      </c>
      <c r="U23" s="45" t="s">
        <v>345</v>
      </c>
      <c r="V23" s="362">
        <v>0.38955160046803994</v>
      </c>
    </row>
    <row r="24" spans="2:22" ht="30" x14ac:dyDescent="0.2">
      <c r="B24" s="49" t="str">
        <f>'X3'!B28</f>
        <v>MLBI</v>
      </c>
      <c r="C24" s="49" t="str">
        <f>'X3'!C28</f>
        <v>PT MULTI BINTANG INDONESIA</v>
      </c>
      <c r="D24" s="145">
        <f>'X3'!E28</f>
        <v>2429365000000</v>
      </c>
      <c r="E24" s="44">
        <v>2260550000000</v>
      </c>
      <c r="F24" s="185">
        <f t="shared" si="0"/>
        <v>7.4678728627988758E-2</v>
      </c>
      <c r="H24" s="49" t="str">
        <f t="shared" si="4"/>
        <v>MLBI</v>
      </c>
      <c r="I24" s="49" t="str">
        <f t="shared" si="1"/>
        <v>PT MULTI BINTANG INDONESIA</v>
      </c>
      <c r="J24" s="145">
        <f>'X3 (2)'!K28</f>
        <v>3574801000000</v>
      </c>
      <c r="K24" s="145">
        <f>'X3'!E28</f>
        <v>2429365000000</v>
      </c>
      <c r="L24" s="147">
        <f t="shared" si="2"/>
        <v>0.47149604937915873</v>
      </c>
      <c r="N24" s="48" t="str">
        <f t="shared" si="5"/>
        <v>MLBI</v>
      </c>
      <c r="O24" s="49" t="str">
        <f t="shared" si="6"/>
        <v>PT MULTI BINTANG INDONESIA</v>
      </c>
      <c r="P24" s="145">
        <f>'X3 (3)'!D28</f>
        <v>3711405000000</v>
      </c>
      <c r="Q24" s="145">
        <f t="shared" si="7"/>
        <v>3574801000000</v>
      </c>
      <c r="R24" s="147">
        <f t="shared" si="8"/>
        <v>3.8213036194182558E-2</v>
      </c>
      <c r="U24" s="361" t="s">
        <v>345</v>
      </c>
      <c r="V24" s="362">
        <v>0.99747167672096859</v>
      </c>
    </row>
    <row r="25" spans="2:22" x14ac:dyDescent="0.2">
      <c r="B25" s="49" t="str">
        <f>'X3'!B29</f>
        <v>MRAT</v>
      </c>
      <c r="C25" s="49" t="str">
        <f>'X3'!C29</f>
        <v>PT MUSTIKA RATU</v>
      </c>
      <c r="D25" s="145">
        <f>'X3'!E29</f>
        <v>344678666245</v>
      </c>
      <c r="E25" s="44">
        <v>344361345265</v>
      </c>
      <c r="F25" s="185">
        <f t="shared" si="0"/>
        <v>9.2147676957124404E-4</v>
      </c>
      <c r="H25" s="49" t="str">
        <f t="shared" si="4"/>
        <v>MRAT</v>
      </c>
      <c r="I25" s="49" t="str">
        <f t="shared" si="1"/>
        <v>PT MUSTIKA RATU</v>
      </c>
      <c r="J25" s="145">
        <f>'X3 (2)'!K29</f>
        <v>300572751733</v>
      </c>
      <c r="K25" s="145">
        <f>'X3'!E29</f>
        <v>344678666245</v>
      </c>
      <c r="L25" s="147">
        <f t="shared" si="2"/>
        <v>-0.12796241494287669</v>
      </c>
      <c r="N25" s="48" t="str">
        <f t="shared" si="5"/>
        <v>MRAT</v>
      </c>
      <c r="O25" s="49" t="str">
        <f t="shared" si="6"/>
        <v>PT MUSTIKA RATU</v>
      </c>
      <c r="P25" s="145">
        <f>'X3 (3)'!D29</f>
        <v>305224577860</v>
      </c>
      <c r="Q25" s="145">
        <f t="shared" si="7"/>
        <v>300572751733</v>
      </c>
      <c r="R25" s="147">
        <f t="shared" si="8"/>
        <v>1.5476539706873483E-2</v>
      </c>
      <c r="U25" s="360" t="s">
        <v>345</v>
      </c>
      <c r="V25" s="362">
        <v>0.29448958628670469</v>
      </c>
    </row>
    <row r="26" spans="2:22" x14ac:dyDescent="0.2">
      <c r="B26" s="49" t="str">
        <f>'X3'!B30</f>
        <v>MYOR</v>
      </c>
      <c r="C26" s="49" t="str">
        <f>'X3'!C30</f>
        <v>PT MAYORA INDAH</v>
      </c>
      <c r="D26" s="145">
        <f>'X3'!E30</f>
        <v>20818673946473</v>
      </c>
      <c r="E26" s="44">
        <v>18349959898358</v>
      </c>
      <c r="F26" s="185">
        <f t="shared" si="0"/>
        <v>0.13453511952011987</v>
      </c>
      <c r="H26" s="49" t="str">
        <f t="shared" si="4"/>
        <v>MYOR</v>
      </c>
      <c r="I26" s="49" t="str">
        <f t="shared" si="1"/>
        <v>PT MAYORA INDAH</v>
      </c>
      <c r="J26" s="145">
        <f>'X3 (2)'!K30</f>
        <v>24060802395725</v>
      </c>
      <c r="K26" s="145">
        <f>'X3'!E30</f>
        <v>20818673946473</v>
      </c>
      <c r="L26" s="147">
        <f t="shared" si="2"/>
        <v>0.15573174629603467</v>
      </c>
      <c r="N26" s="48" t="str">
        <f t="shared" si="5"/>
        <v>MYOR</v>
      </c>
      <c r="O26" s="49" t="str">
        <f t="shared" si="6"/>
        <v>PT MAYORA INDAH</v>
      </c>
      <c r="P26" s="145">
        <f>'X3 (3)'!D30</f>
        <v>25026739472547</v>
      </c>
      <c r="Q26" s="145">
        <f t="shared" si="7"/>
        <v>24060802395725</v>
      </c>
      <c r="R26" s="147">
        <f t="shared" si="8"/>
        <v>4.014567182487741E-2</v>
      </c>
      <c r="U26" s="45" t="s">
        <v>605</v>
      </c>
      <c r="V26" s="362">
        <v>0.17248089510035206</v>
      </c>
    </row>
    <row r="27" spans="2:22" ht="30" x14ac:dyDescent="0.2">
      <c r="B27" s="49" t="str">
        <f>'X3'!B31</f>
        <v>RMBA</v>
      </c>
      <c r="C27" s="49" t="str">
        <f>'X3'!C31</f>
        <v>PT BENTOEL INTERNASIONAL INVESTAMA</v>
      </c>
      <c r="D27" s="145">
        <f>'X3'!E31</f>
        <v>20258870000000</v>
      </c>
      <c r="E27" s="44">
        <v>19228981000000</v>
      </c>
      <c r="F27" s="185">
        <f t="shared" si="0"/>
        <v>5.3559208363667322E-2</v>
      </c>
      <c r="H27" s="49" t="str">
        <f t="shared" si="4"/>
        <v>RMBA</v>
      </c>
      <c r="I27" s="49" t="str">
        <f t="shared" si="1"/>
        <v>PT BENTOEL INTERNASIONAL INVESTAMA</v>
      </c>
      <c r="J27" s="145">
        <f>'X3 (2)'!K31</f>
        <v>21923057000000</v>
      </c>
      <c r="K27" s="145">
        <f>'X3'!E31</f>
        <v>20258870000000</v>
      </c>
      <c r="L27" s="147">
        <f t="shared" si="2"/>
        <v>8.2146092057454337E-2</v>
      </c>
      <c r="N27" s="48" t="str">
        <f t="shared" si="5"/>
        <v>RMBA</v>
      </c>
      <c r="O27" s="49" t="str">
        <f t="shared" si="6"/>
        <v>PT BENTOEL INTERNASIONAL INVESTAMA</v>
      </c>
      <c r="P27" s="145">
        <f>'X3 (3)'!D31</f>
        <v>20834699000000</v>
      </c>
      <c r="Q27" s="145">
        <f t="shared" si="7"/>
        <v>21923057000000</v>
      </c>
      <c r="R27" s="147">
        <f t="shared" si="8"/>
        <v>-4.9644445115478192E-2</v>
      </c>
      <c r="U27" s="361" t="s">
        <v>605</v>
      </c>
      <c r="V27" s="362">
        <v>-0.28506328824556632</v>
      </c>
    </row>
    <row r="28" spans="2:22" ht="30" x14ac:dyDescent="0.2">
      <c r="B28" s="49" t="str">
        <f>'X3'!B32</f>
        <v>ROTI</v>
      </c>
      <c r="C28" s="49" t="str">
        <f>'X3'!C32</f>
        <v>PT NIPPON INDOSARI CORPINDO</v>
      </c>
      <c r="D28" s="145">
        <f>'X3'!E32</f>
        <v>2491100179560</v>
      </c>
      <c r="E28" s="44">
        <v>2521920968213</v>
      </c>
      <c r="F28" s="185">
        <f t="shared" si="0"/>
        <v>-1.22211556355151E-2</v>
      </c>
      <c r="H28" s="49" t="str">
        <f t="shared" si="4"/>
        <v>ROTI</v>
      </c>
      <c r="I28" s="49" t="str">
        <f t="shared" si="1"/>
        <v>PT NIPPON INDOSARI CORPINDO</v>
      </c>
      <c r="J28" s="145">
        <f>'X3 (2)'!K32</f>
        <v>2766545866684</v>
      </c>
      <c r="K28" s="145">
        <f>'X3'!E32</f>
        <v>2491100179560</v>
      </c>
      <c r="L28" s="147">
        <f t="shared" si="2"/>
        <v>0.11057190288214408</v>
      </c>
      <c r="N28" s="48" t="str">
        <f t="shared" si="5"/>
        <v>ROTI</v>
      </c>
      <c r="O28" s="49" t="str">
        <f t="shared" si="6"/>
        <v>PT NIPPON INDOSARI CORPINDO</v>
      </c>
      <c r="P28" s="145">
        <f>'X3 (3)'!D32</f>
        <v>3337022314624</v>
      </c>
      <c r="Q28" s="145">
        <f t="shared" si="7"/>
        <v>2766545866684</v>
      </c>
      <c r="R28" s="147">
        <f t="shared" si="8"/>
        <v>0.20620530995344633</v>
      </c>
      <c r="U28" s="360" t="s">
        <v>605</v>
      </c>
      <c r="V28" s="362">
        <v>-0.24682611670777874</v>
      </c>
    </row>
    <row r="29" spans="2:22" ht="30" x14ac:dyDescent="0.2">
      <c r="B29" s="49" t="str">
        <f>'X3'!B33</f>
        <v>SIDO</v>
      </c>
      <c r="C29" s="49" t="str">
        <f>'X3'!C33</f>
        <v>PT INDUSTRI JAMU DAN FARMASI SIDO MUNCUL</v>
      </c>
      <c r="D29" s="145">
        <f>'X3'!E33</f>
        <v>2573840000000</v>
      </c>
      <c r="E29" s="44">
        <v>2561806000000</v>
      </c>
      <c r="F29" s="185">
        <f t="shared" si="0"/>
        <v>4.697467333592005E-3</v>
      </c>
      <c r="H29" s="49" t="str">
        <f t="shared" si="4"/>
        <v>SIDO</v>
      </c>
      <c r="I29" s="49" t="str">
        <f t="shared" si="1"/>
        <v>PT INDUSTRI JAMU DAN FARMASI SIDO MUNCUL</v>
      </c>
      <c r="J29" s="145">
        <f>'X3 (2)'!K33</f>
        <v>2763292000000</v>
      </c>
      <c r="K29" s="145">
        <f>'X3'!E33</f>
        <v>2573840000000</v>
      </c>
      <c r="L29" s="147">
        <f t="shared" si="2"/>
        <v>7.3606751002393306E-2</v>
      </c>
      <c r="N29" s="48" t="str">
        <f t="shared" si="5"/>
        <v>SIDO</v>
      </c>
      <c r="O29" s="49" t="str">
        <f t="shared" si="6"/>
        <v>PT INDUSTRI JAMU DAN FARMASI SIDO MUNCUL</v>
      </c>
      <c r="P29" s="145">
        <f>'X3 (3)'!D33</f>
        <v>3067434000000</v>
      </c>
      <c r="Q29" s="145">
        <f t="shared" si="7"/>
        <v>2763292000000</v>
      </c>
      <c r="R29" s="147">
        <f t="shared" si="8"/>
        <v>0.1100650962692325</v>
      </c>
      <c r="U29" s="45" t="s">
        <v>514</v>
      </c>
      <c r="V29" s="362">
        <v>1.5144847952360032</v>
      </c>
    </row>
    <row r="30" spans="2:22" x14ac:dyDescent="0.2">
      <c r="B30" s="49" t="str">
        <f>'X3'!B34</f>
        <v>TBLA</v>
      </c>
      <c r="C30" s="49" t="str">
        <f>'X3'!C34</f>
        <v>PT TUNAS BARU LAMPUNG</v>
      </c>
      <c r="D30" s="145">
        <f>'X3'!E34</f>
        <v>8974708000000</v>
      </c>
      <c r="E30" s="44">
        <v>6513980000000</v>
      </c>
      <c r="F30" s="185">
        <f t="shared" si="0"/>
        <v>0.37776106159368006</v>
      </c>
      <c r="H30" s="49" t="str">
        <f t="shared" si="4"/>
        <v>TBLA</v>
      </c>
      <c r="I30" s="49" t="str">
        <f t="shared" si="1"/>
        <v>PT TUNAS BARU LAMPUNG</v>
      </c>
      <c r="J30" s="145">
        <f>'X3 (2)'!K34</f>
        <v>8614889000000</v>
      </c>
      <c r="K30" s="145">
        <f>'X3'!E34</f>
        <v>8974708000000</v>
      </c>
      <c r="L30" s="147">
        <f>(J30-K30)/K30</f>
        <v>-4.0092557886005874E-2</v>
      </c>
      <c r="N30" s="48" t="str">
        <f t="shared" si="5"/>
        <v>TBLA</v>
      </c>
      <c r="O30" s="49" t="str">
        <f t="shared" si="6"/>
        <v>PT TUNAS BARU LAMPUNG</v>
      </c>
      <c r="P30" s="145">
        <f>'X3 (3)'!D34</f>
        <v>8533183000000</v>
      </c>
      <c r="Q30" s="145">
        <f t="shared" si="7"/>
        <v>8614889000000</v>
      </c>
      <c r="R30" s="147">
        <f t="shared" si="8"/>
        <v>-9.4842777428705109E-3</v>
      </c>
      <c r="U30" s="361" t="s">
        <v>514</v>
      </c>
      <c r="V30" s="362">
        <v>0.16086810930955997</v>
      </c>
    </row>
    <row r="31" spans="2:22" x14ac:dyDescent="0.2">
      <c r="B31" s="49" t="str">
        <f>'X3'!B35</f>
        <v>TCID</v>
      </c>
      <c r="C31" s="49" t="str">
        <f>'X3'!C35</f>
        <v>PT MANDOM INDONESIA</v>
      </c>
      <c r="D31" s="145">
        <f>'X3'!E35</f>
        <v>2706394847919</v>
      </c>
      <c r="E31" s="44">
        <v>2526776164168</v>
      </c>
      <c r="F31" s="185">
        <f t="shared" si="0"/>
        <v>7.1086108179330421E-2</v>
      </c>
      <c r="H31" s="49" t="str">
        <f t="shared" si="4"/>
        <v>TCID</v>
      </c>
      <c r="I31" s="49" t="str">
        <f t="shared" si="1"/>
        <v>PT MANDOM INDONESIA</v>
      </c>
      <c r="J31" s="145">
        <f>'X3 (2)'!K35</f>
        <v>2648754344347</v>
      </c>
      <c r="K31" s="145">
        <f>'X3'!E35</f>
        <v>2706394847919</v>
      </c>
      <c r="L31" s="147">
        <f t="shared" si="2"/>
        <v>-2.1297891405727777E-2</v>
      </c>
      <c r="N31" s="48" t="str">
        <f t="shared" si="5"/>
        <v>TCID</v>
      </c>
      <c r="O31" s="49" t="str">
        <f t="shared" si="6"/>
        <v>PT MANDOM INDONESIA</v>
      </c>
      <c r="P31" s="145">
        <f>'X3 (3)'!D35</f>
        <v>2804151670769</v>
      </c>
      <c r="Q31" s="145">
        <f t="shared" si="7"/>
        <v>2648754344347</v>
      </c>
      <c r="R31" s="147">
        <f t="shared" si="8"/>
        <v>5.8668077979239806E-2</v>
      </c>
      <c r="U31" s="360" t="s">
        <v>514</v>
      </c>
      <c r="V31" s="362">
        <v>-8.5240693129324217E-3</v>
      </c>
    </row>
    <row r="32" spans="2:22" x14ac:dyDescent="0.2">
      <c r="B32" s="49" t="str">
        <f>'X3'!B36</f>
        <v>TSPC</v>
      </c>
      <c r="C32" s="49" t="str">
        <f>'X3'!C36</f>
        <v>PT TEMPO SCAN PACIFIC</v>
      </c>
      <c r="D32" s="145">
        <f>'X3'!E36</f>
        <v>9565462045199</v>
      </c>
      <c r="E32" s="44">
        <v>9138238993842</v>
      </c>
      <c r="F32" s="185">
        <f t="shared" si="0"/>
        <v>4.6751135710599544E-2</v>
      </c>
      <c r="H32" s="49" t="str">
        <f t="shared" si="4"/>
        <v>TSPC</v>
      </c>
      <c r="I32" s="49" t="str">
        <f t="shared" si="1"/>
        <v>PT TEMPO SCAN PACIFIC</v>
      </c>
      <c r="J32" s="145">
        <f>'X3 (2)'!K36</f>
        <v>10088118830780</v>
      </c>
      <c r="K32" s="145">
        <f>'X3'!E36</f>
        <v>9565462045199</v>
      </c>
      <c r="L32" s="147">
        <f t="shared" si="2"/>
        <v>5.4639993667982473E-2</v>
      </c>
      <c r="N32" s="48" t="str">
        <f t="shared" si="5"/>
        <v>TSPC</v>
      </c>
      <c r="O32" s="49" t="str">
        <f t="shared" si="6"/>
        <v>PT TEMPO SCAN PACIFIC</v>
      </c>
      <c r="P32" s="145">
        <f>'X3 (3)'!D36</f>
        <v>10993842057747</v>
      </c>
      <c r="Q32" s="145">
        <f t="shared" si="7"/>
        <v>10088118830780</v>
      </c>
      <c r="R32" s="147">
        <f t="shared" si="8"/>
        <v>8.9781181423392364E-2</v>
      </c>
      <c r="U32" s="45" t="s">
        <v>608</v>
      </c>
      <c r="V32" s="362">
        <v>0.44239911688260536</v>
      </c>
    </row>
    <row r="33" spans="2:22" x14ac:dyDescent="0.2">
      <c r="B33" s="49" t="str">
        <f>'X3'!B37</f>
        <v>UNVR</v>
      </c>
      <c r="C33" s="49" t="str">
        <f>'X3'!C37</f>
        <v>PT UNILEVER INDONESIA</v>
      </c>
      <c r="D33" s="145">
        <f>'X3'!E37</f>
        <v>41204510000000</v>
      </c>
      <c r="E33" s="44">
        <v>40053732000000</v>
      </c>
      <c r="F33" s="185">
        <f t="shared" si="0"/>
        <v>2.8730855841348317E-2</v>
      </c>
      <c r="H33" s="49" t="str">
        <f t="shared" si="4"/>
        <v>UNVR</v>
      </c>
      <c r="I33" s="49" t="str">
        <f t="shared" si="1"/>
        <v>PT UNILEVER INDONESIA</v>
      </c>
      <c r="J33" s="145">
        <f>'X3 (2)'!K37</f>
        <v>41802073000000</v>
      </c>
      <c r="K33" s="145">
        <f>'X3'!E37</f>
        <v>41204510000000</v>
      </c>
      <c r="L33" s="147">
        <f t="shared" si="2"/>
        <v>1.4502368794095598E-2</v>
      </c>
      <c r="N33" s="48" t="str">
        <f t="shared" si="5"/>
        <v>UNVR</v>
      </c>
      <c r="O33" s="49" t="str">
        <f t="shared" si="6"/>
        <v>PT UNILEVER INDONESIA</v>
      </c>
      <c r="P33" s="145">
        <f>'X3 (3)'!D37</f>
        <v>42922563000000</v>
      </c>
      <c r="Q33" s="145">
        <f t="shared" si="7"/>
        <v>41802073000000</v>
      </c>
      <c r="R33" s="147">
        <f t="shared" si="8"/>
        <v>2.6804651530080818E-2</v>
      </c>
      <c r="U33" s="361" t="s">
        <v>608</v>
      </c>
      <c r="V33" s="362">
        <v>1.4845410284975567E-2</v>
      </c>
    </row>
    <row r="34" spans="2:22" x14ac:dyDescent="0.2">
      <c r="B34" s="49" t="str">
        <f>'X3'!B38</f>
        <v>BLTA</v>
      </c>
      <c r="C34" s="49" t="str">
        <f>'X3'!C38</f>
        <v>PT BERLIAN LAJU TANKER</v>
      </c>
      <c r="D34" s="145">
        <f>'X3'!E38</f>
        <v>342578605488</v>
      </c>
      <c r="E34" s="44">
        <f>20252565*G51</f>
        <v>274381750620</v>
      </c>
      <c r="F34" s="185">
        <f t="shared" si="0"/>
        <v>0.24854734221172015</v>
      </c>
      <c r="H34" s="49" t="str">
        <f t="shared" si="4"/>
        <v>BLTA</v>
      </c>
      <c r="I34" s="49" t="str">
        <f t="shared" si="1"/>
        <v>PT BERLIAN LAJU TANKER</v>
      </c>
      <c r="J34" s="145">
        <f>'X3 (2)'!K38</f>
        <v>361556122500</v>
      </c>
      <c r="K34" s="145">
        <f>'X3'!E38</f>
        <v>342578605488</v>
      </c>
      <c r="L34" s="147">
        <f t="shared" si="2"/>
        <v>5.5396095109228161E-2</v>
      </c>
      <c r="N34" s="48" t="str">
        <f t="shared" si="5"/>
        <v>BLTA</v>
      </c>
      <c r="O34" s="49" t="str">
        <f t="shared" si="6"/>
        <v>PT BERLIAN LAJU TANKER</v>
      </c>
      <c r="P34" s="145">
        <f>'X3 (3)'!D38</f>
        <v>288346235720</v>
      </c>
      <c r="Q34" s="145">
        <f t="shared" si="7"/>
        <v>361556122500</v>
      </c>
      <c r="R34" s="147">
        <f t="shared" si="8"/>
        <v>-0.20248554020821483</v>
      </c>
      <c r="U34" s="360" t="s">
        <v>608</v>
      </c>
      <c r="V34" s="362">
        <v>-0.12567258902249509</v>
      </c>
    </row>
    <row r="35" spans="2:22" ht="30" x14ac:dyDescent="0.2">
      <c r="B35" s="49" t="str">
        <f>'X3'!B39</f>
        <v>BBRM</v>
      </c>
      <c r="C35" s="49" t="str">
        <f>'X3'!C39</f>
        <v>PT PELAYARAN NASIONAL BINA BUANA RAYA</v>
      </c>
      <c r="D35" s="145">
        <f>'X3'!E39</f>
        <v>319900070907</v>
      </c>
      <c r="E35" s="44">
        <f>25398131*G51</f>
        <v>344093878788</v>
      </c>
      <c r="F35" s="185">
        <f t="shared" si="0"/>
        <v>-7.0311648571656421E-2</v>
      </c>
      <c r="H35" s="49" t="str">
        <f t="shared" si="4"/>
        <v>BBRM</v>
      </c>
      <c r="I35" s="49" t="str">
        <f t="shared" si="1"/>
        <v>PT PELAYARAN NASIONAL BINA BUANA RAYA</v>
      </c>
      <c r="J35" s="145">
        <f>'X3 (2)'!K39</f>
        <v>300169125500</v>
      </c>
      <c r="K35" s="145">
        <f>'X3'!E39</f>
        <v>319900070907</v>
      </c>
      <c r="L35" s="147">
        <f t="shared" si="2"/>
        <v>-6.167846525028154E-2</v>
      </c>
      <c r="N35" s="48" t="str">
        <f t="shared" si="5"/>
        <v>BBRM</v>
      </c>
      <c r="O35" s="49" t="str">
        <f t="shared" si="6"/>
        <v>PT PELAYARAN NASIONAL BINA BUANA RAYA</v>
      </c>
      <c r="P35" s="145">
        <f>'X3 (3)'!D39</f>
        <v>241941382293</v>
      </c>
      <c r="Q35" s="145">
        <f t="shared" si="7"/>
        <v>300169125500</v>
      </c>
      <c r="R35" s="147">
        <f t="shared" si="8"/>
        <v>-0.19398311904999704</v>
      </c>
      <c r="U35" s="45" t="s">
        <v>731</v>
      </c>
      <c r="V35" s="362">
        <v>6.6346197692659994E-2</v>
      </c>
    </row>
    <row r="36" spans="2:22" x14ac:dyDescent="0.2">
      <c r="B36" s="49" t="str">
        <f>'X3'!B40</f>
        <v>BTEL</v>
      </c>
      <c r="C36" s="49" t="str">
        <f>'X3'!C40</f>
        <v>PT BAKRIE TELECOM</v>
      </c>
      <c r="D36" s="145">
        <f>'X3'!E40</f>
        <v>7871000000</v>
      </c>
      <c r="E36" s="44">
        <v>172005000000</v>
      </c>
      <c r="F36" s="185">
        <f t="shared" si="0"/>
        <v>-0.9542397023342345</v>
      </c>
      <c r="H36" s="49" t="str">
        <f t="shared" si="4"/>
        <v>BTEL</v>
      </c>
      <c r="I36" s="49" t="str">
        <f t="shared" ref="I36:I68" si="9">C36</f>
        <v>PT BAKRIE TELECOM</v>
      </c>
      <c r="J36" s="145">
        <f>'X3 (2)'!K40</f>
        <v>8526000000</v>
      </c>
      <c r="K36" s="145">
        <f>'X3'!E40</f>
        <v>7871000000</v>
      </c>
      <c r="L36" s="147">
        <f t="shared" si="2"/>
        <v>8.321687206199975E-2</v>
      </c>
      <c r="N36" s="48" t="str">
        <f t="shared" si="5"/>
        <v>BTEL</v>
      </c>
      <c r="O36" s="49" t="str">
        <f t="shared" si="6"/>
        <v>PT BAKRIE TELECOM</v>
      </c>
      <c r="P36" s="145">
        <f>'X3 (3)'!D40</f>
        <v>10275000000</v>
      </c>
      <c r="Q36" s="145">
        <f t="shared" si="7"/>
        <v>8526000000</v>
      </c>
      <c r="R36" s="147">
        <f t="shared" si="8"/>
        <v>0.20513722730471498</v>
      </c>
      <c r="U36" s="361" t="s">
        <v>731</v>
      </c>
      <c r="V36" s="362">
        <v>0.18277217828251421</v>
      </c>
    </row>
    <row r="37" spans="2:22" x14ac:dyDescent="0.2">
      <c r="B37" s="49" t="str">
        <f>'X3'!B41</f>
        <v>BULL</v>
      </c>
      <c r="C37" s="49" t="str">
        <f>'X3'!C41</f>
        <v>PT BUANA LINTAS LAUTAN</v>
      </c>
      <c r="D37" s="145">
        <f>'X3'!E41</f>
        <v>883225043772</v>
      </c>
      <c r="E37" s="44">
        <f>51249759*G51</f>
        <v>694331734932</v>
      </c>
      <c r="F37" s="185">
        <f t="shared" si="0"/>
        <v>0.27205051899075222</v>
      </c>
      <c r="H37" s="49" t="str">
        <f t="shared" si="4"/>
        <v>BULL</v>
      </c>
      <c r="I37" s="49" t="str">
        <f t="shared" si="9"/>
        <v>PT BUANA LINTAS LAUTAN</v>
      </c>
      <c r="J37" s="145">
        <f>'X3 (2)'!K41</f>
        <v>1238770525000</v>
      </c>
      <c r="K37" s="145">
        <f>'X3'!E41</f>
        <v>883225043772</v>
      </c>
      <c r="L37" s="147">
        <f t="shared" si="2"/>
        <v>0.4025536682129931</v>
      </c>
      <c r="N37" s="48" t="str">
        <f t="shared" si="5"/>
        <v>BULL</v>
      </c>
      <c r="O37" s="49" t="str">
        <f t="shared" si="6"/>
        <v>PT BUANA LINTAS LAUTAN</v>
      </c>
      <c r="P37" s="145">
        <f>'X3 (3)'!D41</f>
        <v>1420416445071</v>
      </c>
      <c r="Q37" s="145">
        <f t="shared" si="7"/>
        <v>1238770525000</v>
      </c>
      <c r="R37" s="147">
        <f t="shared" si="8"/>
        <v>0.14663403463769045</v>
      </c>
      <c r="U37" s="360" t="s">
        <v>731</v>
      </c>
      <c r="V37" s="362">
        <v>2.184597322883804E-2</v>
      </c>
    </row>
    <row r="38" spans="2:22" x14ac:dyDescent="0.2">
      <c r="B38" s="49" t="str">
        <f>'X3'!B42</f>
        <v>EXCL</v>
      </c>
      <c r="C38" s="49" t="str">
        <f>'X3'!C42</f>
        <v>PT XL AXIATA</v>
      </c>
      <c r="D38" s="145">
        <f>'X3'!E42</f>
        <v>22875662000000</v>
      </c>
      <c r="E38" s="44">
        <v>21341425000000</v>
      </c>
      <c r="F38" s="185">
        <f t="shared" si="0"/>
        <v>7.1890091687879326E-2</v>
      </c>
      <c r="H38" s="49" t="str">
        <f t="shared" si="4"/>
        <v>EXCL</v>
      </c>
      <c r="I38" s="49" t="str">
        <f t="shared" si="9"/>
        <v>PT XL AXIATA</v>
      </c>
      <c r="J38" s="145">
        <f>'X3 (2)'!K42</f>
        <v>22938812000000</v>
      </c>
      <c r="K38" s="145">
        <f>'X3'!E42</f>
        <v>22875662000000</v>
      </c>
      <c r="L38" s="147">
        <f t="shared" si="2"/>
        <v>2.7605758469416096E-3</v>
      </c>
      <c r="N38" s="48" t="str">
        <f t="shared" si="5"/>
        <v>EXCL</v>
      </c>
      <c r="O38" s="49" t="str">
        <f t="shared" si="6"/>
        <v>PT XL AXIATA</v>
      </c>
      <c r="P38" s="145">
        <f>'X3 (3)'!D42</f>
        <v>25132628000000</v>
      </c>
      <c r="Q38" s="145">
        <f t="shared" si="7"/>
        <v>22938812000000</v>
      </c>
      <c r="R38" s="147">
        <f t="shared" si="8"/>
        <v>9.5637733985526371E-2</v>
      </c>
      <c r="U38" s="45" t="s">
        <v>518</v>
      </c>
      <c r="V38" s="362">
        <v>5.8014969625279939E-2</v>
      </c>
    </row>
    <row r="39" spans="2:22" x14ac:dyDescent="0.2">
      <c r="B39" s="49" t="str">
        <f>'X3'!B43</f>
        <v>GIAA</v>
      </c>
      <c r="C39" s="49" t="str">
        <f>'X3'!C43</f>
        <v>PT GARUDA INDONESIA</v>
      </c>
      <c r="D39" s="145">
        <f>'X3'!E43</f>
        <v>56682133522389</v>
      </c>
      <c r="E39" s="44">
        <f>3863921565*G51</f>
        <v>52348409362620</v>
      </c>
      <c r="F39" s="185">
        <f t="shared" si="0"/>
        <v>8.2786167001734093E-2</v>
      </c>
      <c r="H39" s="49" t="str">
        <f t="shared" si="4"/>
        <v>GIAA</v>
      </c>
      <c r="I39" s="49" t="str">
        <f t="shared" si="9"/>
        <v>PT GARUDA INDONESIA</v>
      </c>
      <c r="J39" s="145">
        <f>'X3 (2)'!K43</f>
        <v>51175183485500</v>
      </c>
      <c r="K39" s="145">
        <f>'X3'!E43</f>
        <v>56682133522389</v>
      </c>
      <c r="L39" s="147">
        <f t="shared" si="2"/>
        <v>-9.715495332782062E-2</v>
      </c>
      <c r="N39" s="48" t="str">
        <f t="shared" si="5"/>
        <v>GIAA</v>
      </c>
      <c r="O39" s="49" t="str">
        <f t="shared" si="6"/>
        <v>PT GARUDA INDONESIA</v>
      </c>
      <c r="P39" s="145">
        <f>'X3 (3)'!D43</f>
        <v>52831360407072</v>
      </c>
      <c r="Q39" s="145">
        <f t="shared" si="7"/>
        <v>51175183485500</v>
      </c>
      <c r="R39" s="147">
        <f t="shared" si="8"/>
        <v>3.2362891713739766E-2</v>
      </c>
      <c r="U39" s="361" t="s">
        <v>518</v>
      </c>
      <c r="V39" s="362">
        <v>0.13332421146584794</v>
      </c>
    </row>
    <row r="40" spans="2:22" ht="30" x14ac:dyDescent="0.2">
      <c r="B40" s="49" t="str">
        <f>'X3'!B44</f>
        <v>HITS</v>
      </c>
      <c r="C40" s="49" t="str">
        <f>'X3'!C44</f>
        <v>HUMPUSS INTERMODA TRANSPORTASI</v>
      </c>
      <c r="D40" s="145">
        <f>'X3'!E44</f>
        <v>918721886997</v>
      </c>
      <c r="E40" s="44">
        <f>60377338*G51</f>
        <v>817992175224</v>
      </c>
      <c r="F40" s="185">
        <f t="shared" si="0"/>
        <v>0.12314263488573843</v>
      </c>
      <c r="H40" s="49" t="str">
        <f t="shared" ref="H40:H67" si="10">B40</f>
        <v>HITS</v>
      </c>
      <c r="I40" s="49" t="str">
        <f t="shared" si="9"/>
        <v>HUMPUSS INTERMODA TRANSPORTASI</v>
      </c>
      <c r="J40" s="145">
        <f>'X3 (2)'!K44</f>
        <v>1186222438000</v>
      </c>
      <c r="K40" s="145">
        <f>'X3'!E44</f>
        <v>918721886997</v>
      </c>
      <c r="L40" s="147">
        <f t="shared" si="2"/>
        <v>0.29116597175819053</v>
      </c>
      <c r="N40" s="48" t="str">
        <f t="shared" si="5"/>
        <v>HITS</v>
      </c>
      <c r="O40" s="49" t="str">
        <f t="shared" si="6"/>
        <v>HUMPUSS INTERMODA TRANSPORTASI</v>
      </c>
      <c r="P40" s="145">
        <f>'X3 (3)'!D44</f>
        <v>1207692083559</v>
      </c>
      <c r="Q40" s="145">
        <f t="shared" si="7"/>
        <v>1186222438000</v>
      </c>
      <c r="R40" s="147">
        <f t="shared" si="8"/>
        <v>1.8099173368528038E-2</v>
      </c>
      <c r="U40" s="360" t="s">
        <v>518</v>
      </c>
      <c r="V40" s="362">
        <v>5.7561739318658482E-3</v>
      </c>
    </row>
    <row r="41" spans="2:22" x14ac:dyDescent="0.2">
      <c r="B41" s="49" t="str">
        <f>'X3'!B45</f>
        <v>ISAT</v>
      </c>
      <c r="C41" s="49" t="str">
        <f>'X3'!C45</f>
        <v>PT INDOSAT</v>
      </c>
      <c r="D41" s="145">
        <f>'X3'!E45</f>
        <v>29926098000000</v>
      </c>
      <c r="E41" s="44">
        <v>24095337000000</v>
      </c>
      <c r="F41" s="185">
        <f t="shared" si="0"/>
        <v>0.24198711144816112</v>
      </c>
      <c r="H41" s="49" t="str">
        <f t="shared" si="10"/>
        <v>ISAT</v>
      </c>
      <c r="I41" s="49" t="str">
        <f t="shared" si="9"/>
        <v>PT INDOSAT</v>
      </c>
      <c r="J41" s="145">
        <f>'X3 (2)'!K45</f>
        <v>23139551000000</v>
      </c>
      <c r="K41" s="145">
        <f>'X3'!E45</f>
        <v>29926098000000</v>
      </c>
      <c r="L41" s="147">
        <f t="shared" si="2"/>
        <v>-0.22677687548841149</v>
      </c>
      <c r="N41" s="48" t="str">
        <f t="shared" si="5"/>
        <v>ISAT</v>
      </c>
      <c r="O41" s="49" t="str">
        <f t="shared" si="6"/>
        <v>PT INDOSAT</v>
      </c>
      <c r="P41" s="145">
        <f>'X3 (3)'!D45</f>
        <v>26117533000000</v>
      </c>
      <c r="Q41" s="145">
        <f t="shared" si="7"/>
        <v>23139551000000</v>
      </c>
      <c r="R41" s="147">
        <f t="shared" si="8"/>
        <v>0.12869661991280643</v>
      </c>
      <c r="U41" s="45" t="s">
        <v>522</v>
      </c>
      <c r="V41" s="362">
        <v>-2.5271290137628289E-2</v>
      </c>
    </row>
    <row r="42" spans="2:22" ht="30" x14ac:dyDescent="0.2">
      <c r="B42" s="49" t="str">
        <f>'X3'!B46</f>
        <v>MBSS</v>
      </c>
      <c r="C42" s="49" t="str">
        <f>'X3'!C46</f>
        <v>PT MITRABAHTERA SEGARA SEJATI</v>
      </c>
      <c r="D42" s="145">
        <f>'X3'!E46</f>
        <v>928805350122</v>
      </c>
      <c r="E42" s="44">
        <f>65758062*G51</f>
        <v>890890223976</v>
      </c>
      <c r="F42" s="185">
        <f t="shared" si="0"/>
        <v>4.2558695926403399E-2</v>
      </c>
      <c r="H42" s="49" t="str">
        <f t="shared" si="10"/>
        <v>MBSS</v>
      </c>
      <c r="I42" s="49" t="str">
        <f t="shared" si="9"/>
        <v>PT MITRABAHTERA SEGARA SEJATI</v>
      </c>
      <c r="J42" s="145">
        <f>'X3 (2)'!K46</f>
        <v>1128692296000</v>
      </c>
      <c r="K42" s="145">
        <f>'X3'!E46</f>
        <v>928805350122</v>
      </c>
      <c r="L42" s="147">
        <f t="shared" si="2"/>
        <v>0.21520865039348078</v>
      </c>
      <c r="N42" s="48" t="str">
        <f t="shared" si="5"/>
        <v>MBSS</v>
      </c>
      <c r="O42" s="49" t="str">
        <f t="shared" si="6"/>
        <v>PT MITRABAHTERA SEGARA SEJATI</v>
      </c>
      <c r="P42" s="145">
        <f>'X3 (3)'!D46</f>
        <v>1089849712848</v>
      </c>
      <c r="Q42" s="145">
        <f t="shared" si="7"/>
        <v>1128692296000</v>
      </c>
      <c r="R42" s="147">
        <f t="shared" si="8"/>
        <v>-3.4413793103448276E-2</v>
      </c>
      <c r="U42" s="361" t="s">
        <v>522</v>
      </c>
      <c r="V42" s="362">
        <v>1.8634495240131606E-2</v>
      </c>
    </row>
    <row r="43" spans="2:22" ht="30" x14ac:dyDescent="0.2">
      <c r="B43" s="49" t="str">
        <f>'X3'!B47</f>
        <v>PGAS</v>
      </c>
      <c r="C43" s="49" t="str">
        <f>'X3'!C47</f>
        <v>PT PERUSAHAAN GAS NEGARA</v>
      </c>
      <c r="D43" s="145">
        <f>'X3'!E47</f>
        <v>40294391283459</v>
      </c>
      <c r="E43" s="44">
        <f>2934778710*G51</f>
        <v>39760381963080</v>
      </c>
      <c r="F43" s="185">
        <f t="shared" si="0"/>
        <v>1.3430688892145479E-2</v>
      </c>
      <c r="H43" s="49" t="str">
        <f t="shared" si="10"/>
        <v>PGAS</v>
      </c>
      <c r="I43" s="49" t="str">
        <f t="shared" si="9"/>
        <v>PT PERUSAHAAN GAS NEGARA</v>
      </c>
      <c r="J43" s="145">
        <f>'X3 (2)'!K47</f>
        <v>56118867701000</v>
      </c>
      <c r="K43" s="145">
        <f>'X3'!E47</f>
        <v>40294391283459</v>
      </c>
      <c r="L43" s="147">
        <f t="shared" si="2"/>
        <v>0.3927215652972777</v>
      </c>
      <c r="N43" s="48" t="str">
        <f t="shared" si="5"/>
        <v>PGAS</v>
      </c>
      <c r="O43" s="49" t="str">
        <f t="shared" si="6"/>
        <v>PT PERUSAHAAN GAS NEGARA</v>
      </c>
      <c r="P43" s="145">
        <f>'X3 (3)'!D47</f>
        <v>53885896293684</v>
      </c>
      <c r="Q43" s="145">
        <f t="shared" si="7"/>
        <v>56118867701000</v>
      </c>
      <c r="R43" s="147">
        <f t="shared" si="8"/>
        <v>-3.9790029606677366E-2</v>
      </c>
      <c r="U43" s="360" t="s">
        <v>522</v>
      </c>
      <c r="V43" s="362">
        <v>-6.1876577126092E-2</v>
      </c>
    </row>
    <row r="44" spans="2:22" x14ac:dyDescent="0.2">
      <c r="B44" s="49" t="str">
        <f>'X3'!B48</f>
        <v>PTIS</v>
      </c>
      <c r="C44" s="49" t="str">
        <f>'X3'!C48</f>
        <v>PT INDO STRAITS</v>
      </c>
      <c r="D44" s="145">
        <f>'X3'!E48</f>
        <v>149033306823</v>
      </c>
      <c r="E44" s="44">
        <f>10469013*G51</f>
        <v>141834188124</v>
      </c>
      <c r="F44" s="185">
        <f t="shared" si="0"/>
        <v>5.0757287747197427E-2</v>
      </c>
      <c r="H44" s="49" t="str">
        <f t="shared" si="10"/>
        <v>PTIS</v>
      </c>
      <c r="I44" s="49" t="str">
        <f t="shared" si="9"/>
        <v>PT INDO STRAITS</v>
      </c>
      <c r="J44" s="145">
        <f>'X3 (2)'!K48</f>
        <v>176829327000</v>
      </c>
      <c r="K44" s="145">
        <f>'X3'!E48</f>
        <v>149033306823</v>
      </c>
      <c r="L44" s="147">
        <f t="shared" si="2"/>
        <v>0.18650877961133919</v>
      </c>
      <c r="N44" s="48" t="str">
        <f t="shared" si="5"/>
        <v>PTIS</v>
      </c>
      <c r="O44" s="49" t="str">
        <f t="shared" si="6"/>
        <v>PT INDO STRAITS</v>
      </c>
      <c r="P44" s="145">
        <f>'X3 (3)'!D48</f>
        <v>177265933824</v>
      </c>
      <c r="Q44" s="145">
        <f t="shared" si="7"/>
        <v>176829327000</v>
      </c>
      <c r="R44" s="147">
        <f t="shared" si="8"/>
        <v>2.469086047022053E-3</v>
      </c>
      <c r="U44" s="45" t="s">
        <v>241</v>
      </c>
      <c r="V44" s="362">
        <v>-7.0311648571656421E-2</v>
      </c>
    </row>
    <row r="45" spans="2:22" x14ac:dyDescent="0.2">
      <c r="B45" s="49" t="str">
        <f>'X3'!B49</f>
        <v>SMDR</v>
      </c>
      <c r="C45" s="49" t="str">
        <f>'X3'!C49</f>
        <v>SAMUDERA INDONESIA</v>
      </c>
      <c r="D45" s="145">
        <f>'X3'!E49</f>
        <v>5844910171506</v>
      </c>
      <c r="E45" s="44">
        <f>406437733*G51</f>
        <v>5506418406684</v>
      </c>
      <c r="F45" s="185">
        <f t="shared" si="0"/>
        <v>6.14722202023587E-2</v>
      </c>
      <c r="H45" s="49" t="str">
        <f t="shared" si="10"/>
        <v>SMDR</v>
      </c>
      <c r="I45" s="49" t="str">
        <f t="shared" si="9"/>
        <v>SAMUDERA INDONESIA</v>
      </c>
      <c r="J45" s="145">
        <f>'X3 (2)'!K49</f>
        <v>6995468769000</v>
      </c>
      <c r="K45" s="145">
        <f>'X3'!E49</f>
        <v>5844910171506</v>
      </c>
      <c r="L45" s="147">
        <f t="shared" si="2"/>
        <v>0.19684795210420608</v>
      </c>
      <c r="N45" s="48" t="str">
        <f t="shared" si="5"/>
        <v>SMDR</v>
      </c>
      <c r="O45" s="49" t="str">
        <f t="shared" si="6"/>
        <v>SAMUDERA INDONESIA</v>
      </c>
      <c r="P45" s="145">
        <f>'X3 (3)'!D49</f>
        <v>6310883876800</v>
      </c>
      <c r="Q45" s="145">
        <f t="shared" si="7"/>
        <v>6995468769000</v>
      </c>
      <c r="R45" s="147">
        <f t="shared" si="8"/>
        <v>-9.7861189121978054E-2</v>
      </c>
      <c r="U45" s="361" t="s">
        <v>241</v>
      </c>
      <c r="V45" s="362">
        <v>-6.167846525028154E-2</v>
      </c>
    </row>
    <row r="46" spans="2:22" x14ac:dyDescent="0.2">
      <c r="B46" s="49" t="str">
        <f>'X3'!B50</f>
        <v>SOCI</v>
      </c>
      <c r="C46" s="49" t="str">
        <f>'X3'!C50</f>
        <v xml:space="preserve">PT SOECHI LINES </v>
      </c>
      <c r="D46" s="145">
        <f>'X3'!E50</f>
        <v>1883813470488</v>
      </c>
      <c r="E46" s="44">
        <f>130288044*G51</f>
        <v>1765142420112</v>
      </c>
      <c r="F46" s="185">
        <f t="shared" si="0"/>
        <v>6.7230297693752217E-2</v>
      </c>
      <c r="H46" s="49" t="str">
        <f t="shared" si="10"/>
        <v>SOCI</v>
      </c>
      <c r="I46" s="49" t="str">
        <f t="shared" si="9"/>
        <v xml:space="preserve">PT SOECHI LINES </v>
      </c>
      <c r="J46" s="145">
        <f>'X3 (2)'!K50</f>
        <v>1919826419000</v>
      </c>
      <c r="K46" s="145">
        <f>'X3'!E50</f>
        <v>1883813470488</v>
      </c>
      <c r="L46" s="147">
        <f t="shared" si="2"/>
        <v>1.9117045862651616E-2</v>
      </c>
      <c r="N46" s="48" t="str">
        <f t="shared" si="5"/>
        <v>SOCI</v>
      </c>
      <c r="O46" s="49" t="str">
        <f t="shared" si="6"/>
        <v xml:space="preserve">PT SOECHI LINES </v>
      </c>
      <c r="P46" s="145">
        <f>'X3 (3)'!D50</f>
        <v>2201986455513</v>
      </c>
      <c r="Q46" s="145">
        <f t="shared" si="7"/>
        <v>1919826419000</v>
      </c>
      <c r="R46" s="147">
        <f t="shared" si="8"/>
        <v>0.14697163958185952</v>
      </c>
      <c r="U46" s="360" t="s">
        <v>241</v>
      </c>
      <c r="V46" s="362">
        <v>-0.19398311904999704</v>
      </c>
    </row>
    <row r="47" spans="2:22" ht="30" x14ac:dyDescent="0.2">
      <c r="B47" s="49" t="str">
        <f>'X3'!B51</f>
        <v>TBIG</v>
      </c>
      <c r="C47" s="49" t="str">
        <f>'X3'!C51</f>
        <v>PT TOWER BERSAMA INFRASTRUCTURE</v>
      </c>
      <c r="D47" s="145">
        <f>'X3'!E51</f>
        <v>4023085000000</v>
      </c>
      <c r="E47" s="44">
        <f>3711174000000</f>
        <v>3711174000000</v>
      </c>
      <c r="F47" s="185">
        <f t="shared" si="0"/>
        <v>8.4046449991296554E-2</v>
      </c>
      <c r="H47" s="49" t="str">
        <f t="shared" si="10"/>
        <v>TBIG</v>
      </c>
      <c r="I47" s="49" t="str">
        <f t="shared" si="9"/>
        <v>PT TOWER BERSAMA INFRASTRUCTURE</v>
      </c>
      <c r="J47" s="145">
        <f>'X3 (2)'!K51</f>
        <v>4318137000000</v>
      </c>
      <c r="K47" s="145">
        <f>'X3'!E51</f>
        <v>4023085000000</v>
      </c>
      <c r="L47" s="147">
        <f t="shared" si="2"/>
        <v>7.3339738036854799E-2</v>
      </c>
      <c r="N47" s="48" t="str">
        <f t="shared" si="5"/>
        <v>TBIG</v>
      </c>
      <c r="O47" s="49" t="str">
        <f t="shared" si="6"/>
        <v>PT TOWER BERSAMA INFRASTRUCTURE</v>
      </c>
      <c r="P47" s="145">
        <f>'X3 (3)'!D51</f>
        <v>4698742000000</v>
      </c>
      <c r="Q47" s="145">
        <f t="shared" si="7"/>
        <v>4318137000000</v>
      </c>
      <c r="R47" s="147">
        <f t="shared" si="8"/>
        <v>8.8141020074166243E-2</v>
      </c>
      <c r="U47" s="45" t="s">
        <v>735</v>
      </c>
      <c r="V47" s="362">
        <v>5.3181020626971526E-2</v>
      </c>
    </row>
    <row r="48" spans="2:22" ht="30" x14ac:dyDescent="0.2">
      <c r="B48" s="49" t="str">
        <f>'X3'!B52</f>
        <v>TLKM</v>
      </c>
      <c r="C48" s="49" t="str">
        <f>'X3'!C52</f>
        <v>PT TELEKOMUNIKASI INDONESIA</v>
      </c>
      <c r="D48" s="145">
        <f>'X3'!E52</f>
        <v>128256000000000</v>
      </c>
      <c r="E48" s="44">
        <v>116333000000000</v>
      </c>
      <c r="F48" s="185">
        <f t="shared" si="0"/>
        <v>0.102490265015086</v>
      </c>
      <c r="H48" s="49" t="str">
        <f t="shared" si="10"/>
        <v>TLKM</v>
      </c>
      <c r="I48" s="49" t="str">
        <f t="shared" si="9"/>
        <v>PT TELEKOMUNIKASI INDONESIA</v>
      </c>
      <c r="J48" s="145">
        <f>'X3 (2)'!K52</f>
        <v>130784000000000</v>
      </c>
      <c r="K48" s="145">
        <f>'X3'!E52</f>
        <v>128256000000000</v>
      </c>
      <c r="L48" s="147">
        <f t="shared" si="2"/>
        <v>1.971057884231537E-2</v>
      </c>
      <c r="N48" s="48" t="str">
        <f t="shared" si="5"/>
        <v>TLKM</v>
      </c>
      <c r="O48" s="49" t="str">
        <f t="shared" si="6"/>
        <v>PT TELEKOMUNIKASI INDONESIA</v>
      </c>
      <c r="P48" s="145">
        <f>'X3 (3)'!D52</f>
        <v>135567000000000</v>
      </c>
      <c r="Q48" s="145">
        <f t="shared" si="7"/>
        <v>130784000000000</v>
      </c>
      <c r="R48" s="147">
        <f t="shared" si="8"/>
        <v>3.6571751896256423E-2</v>
      </c>
      <c r="U48" s="361" t="s">
        <v>735</v>
      </c>
      <c r="V48" s="362">
        <v>8.4356355533163591E-2</v>
      </c>
    </row>
    <row r="49" spans="2:22" ht="30" x14ac:dyDescent="0.2">
      <c r="B49" s="49" t="str">
        <f>'X3'!B53</f>
        <v>TMAS</v>
      </c>
      <c r="C49" s="49" t="str">
        <f>'X3'!C53</f>
        <v>PT PELAYARAN TEMPURAN EMAS</v>
      </c>
      <c r="D49" s="145">
        <f>'X3'!E53</f>
        <v>2000911017962</v>
      </c>
      <c r="E49" s="44">
        <v>1755284162001</v>
      </c>
      <c r="F49" s="185">
        <f t="shared" si="0"/>
        <v>0.13993566470798025</v>
      </c>
      <c r="H49" s="49" t="str">
        <f t="shared" si="10"/>
        <v>TMAS</v>
      </c>
      <c r="I49" s="49" t="str">
        <f t="shared" si="9"/>
        <v>PT PELAYARAN TEMPURAN EMAS</v>
      </c>
      <c r="J49" s="145">
        <f>'X3 (2)'!K53</f>
        <v>2320005000000</v>
      </c>
      <c r="K49" s="145">
        <f>'X3'!E53</f>
        <v>2000911017962</v>
      </c>
      <c r="L49" s="147">
        <f t="shared" si="2"/>
        <v>0.15947434902078189</v>
      </c>
      <c r="N49" s="48" t="str">
        <f t="shared" si="5"/>
        <v>TMAS</v>
      </c>
      <c r="O49" s="49" t="str">
        <f t="shared" si="6"/>
        <v>PT PELAYARAN TEMPURAN EMAS</v>
      </c>
      <c r="P49" s="145">
        <f>'X3 (3)'!D53</f>
        <v>2512269000000</v>
      </c>
      <c r="Q49" s="145">
        <f t="shared" si="7"/>
        <v>2320005000000</v>
      </c>
      <c r="R49" s="147">
        <f t="shared" si="8"/>
        <v>8.2872235189148297E-2</v>
      </c>
      <c r="U49" s="360" t="s">
        <v>735</v>
      </c>
      <c r="V49" s="362">
        <v>8.4309219209130939E-2</v>
      </c>
    </row>
    <row r="50" spans="2:22" ht="30" x14ac:dyDescent="0.2">
      <c r="B50" s="49" t="str">
        <f>'X3'!B54</f>
        <v>WINS</v>
      </c>
      <c r="C50" s="49" t="str">
        <f>'X3'!C54</f>
        <v>PT WINTERMAR OFFSHORE MARINE</v>
      </c>
      <c r="D50" s="145">
        <f>'X3'!E54</f>
        <v>840680760465</v>
      </c>
      <c r="E50" s="44">
        <f>89136334*G51</f>
        <v>1207619053032</v>
      </c>
      <c r="F50" s="185">
        <f t="shared" si="0"/>
        <v>-0.30385268570060953</v>
      </c>
      <c r="G50" s="45" t="s">
        <v>344</v>
      </c>
      <c r="H50" s="49" t="str">
        <f t="shared" si="10"/>
        <v>WINS</v>
      </c>
      <c r="I50" s="49" t="str">
        <f t="shared" si="9"/>
        <v>PT WINTERMAR OFFSHORE MARINE</v>
      </c>
      <c r="J50" s="145">
        <f>'X3 (2)'!K54</f>
        <v>909886977000</v>
      </c>
      <c r="K50" s="145">
        <f>'X3'!E54</f>
        <v>840680760465</v>
      </c>
      <c r="L50" s="147">
        <f t="shared" si="2"/>
        <v>8.2321637165480549E-2</v>
      </c>
      <c r="M50" s="45" t="s">
        <v>344</v>
      </c>
      <c r="N50" s="48" t="str">
        <f t="shared" si="5"/>
        <v>WINS</v>
      </c>
      <c r="O50" s="49" t="str">
        <f t="shared" si="6"/>
        <v>PT WINTERMAR OFFSHORE MARINE</v>
      </c>
      <c r="P50" s="145">
        <f>'X3 (3)'!D54</f>
        <v>785294500458</v>
      </c>
      <c r="Q50" s="145">
        <f t="shared" si="7"/>
        <v>909886977000</v>
      </c>
      <c r="R50" s="147">
        <f t="shared" si="8"/>
        <v>-0.13693181646889316</v>
      </c>
      <c r="S50" s="45" t="s">
        <v>344</v>
      </c>
      <c r="U50" s="45" t="s">
        <v>24</v>
      </c>
      <c r="V50" s="362">
        <v>0.24740359347522434</v>
      </c>
    </row>
    <row r="51" spans="2:22" x14ac:dyDescent="0.2">
      <c r="B51" s="49" t="str">
        <f>'X3'!B55</f>
        <v>ADRO</v>
      </c>
      <c r="C51" s="49" t="str">
        <f>'X3'!C55</f>
        <v>PT ADARO ENERGY</v>
      </c>
      <c r="D51" s="145">
        <f>'X3'!E55</f>
        <v>44212320477</v>
      </c>
      <c r="E51" s="44">
        <f>2524239*G51</f>
        <v>34198389972</v>
      </c>
      <c r="F51" s="185">
        <f t="shared" si="0"/>
        <v>0.29281877050934052</v>
      </c>
      <c r="G51" s="51">
        <v>13548</v>
      </c>
      <c r="H51" s="49" t="str">
        <f t="shared" si="10"/>
        <v>ADRO</v>
      </c>
      <c r="I51" s="49" t="str">
        <f t="shared" si="9"/>
        <v>PT ADARO ENERGY</v>
      </c>
      <c r="J51" s="145">
        <f>'X3 (2)'!K55</f>
        <v>52486389500</v>
      </c>
      <c r="K51" s="145">
        <f>'X3'!E55</f>
        <v>44212320477</v>
      </c>
      <c r="L51" s="147">
        <f t="shared" si="2"/>
        <v>0.18714396651730394</v>
      </c>
      <c r="M51" s="51">
        <v>14500</v>
      </c>
      <c r="N51" s="48" t="str">
        <f t="shared" si="5"/>
        <v>ADRO</v>
      </c>
      <c r="O51" s="49" t="str">
        <f t="shared" si="6"/>
        <v>PT ADARO ENERGY</v>
      </c>
      <c r="P51" s="145">
        <f>'X3 (3)'!D55</f>
        <v>48403613154</v>
      </c>
      <c r="Q51" s="145">
        <f t="shared" si="7"/>
        <v>52486389500</v>
      </c>
      <c r="R51" s="147">
        <f t="shared" si="8"/>
        <v>-7.7787334676545056E-2</v>
      </c>
      <c r="S51" s="51">
        <v>14001</v>
      </c>
      <c r="U51" s="361" t="s">
        <v>24</v>
      </c>
      <c r="V51" s="362">
        <v>-1.9337399200966113E-2</v>
      </c>
    </row>
    <row r="52" spans="2:22" x14ac:dyDescent="0.2">
      <c r="B52" s="49" t="str">
        <f>'X3'!B56</f>
        <v>ANTM</v>
      </c>
      <c r="C52" s="49" t="str">
        <f>'X3'!C56</f>
        <v>PT ANEKA TAMBANG</v>
      </c>
      <c r="D52" s="145">
        <f>'X3'!E56</f>
        <v>12653619205000</v>
      </c>
      <c r="E52" s="44">
        <v>9106260754000</v>
      </c>
      <c r="F52" s="185">
        <f t="shared" si="0"/>
        <v>0.38955160046803994</v>
      </c>
      <c r="H52" s="49" t="str">
        <f t="shared" si="10"/>
        <v>ANTM</v>
      </c>
      <c r="I52" s="49" t="str">
        <f t="shared" si="9"/>
        <v>PT ANEKA TAMBANG</v>
      </c>
      <c r="J52" s="145">
        <f>'X3 (2)'!K56</f>
        <v>25275245970000</v>
      </c>
      <c r="K52" s="145">
        <f>'X3'!E56</f>
        <v>12653619205000</v>
      </c>
      <c r="L52" s="147">
        <f t="shared" si="2"/>
        <v>0.99747167672096859</v>
      </c>
      <c r="N52" s="48" t="str">
        <f t="shared" si="5"/>
        <v>ANTM</v>
      </c>
      <c r="O52" s="49" t="str">
        <f t="shared" si="6"/>
        <v>PT ANEKA TAMBANG</v>
      </c>
      <c r="P52" s="145">
        <f>'X3 (3)'!D56</f>
        <v>32718542699000</v>
      </c>
      <c r="Q52" s="145">
        <f t="shared" si="7"/>
        <v>25275245970000</v>
      </c>
      <c r="R52" s="147">
        <f t="shared" si="8"/>
        <v>0.29448958628670469</v>
      </c>
      <c r="U52" s="360" t="s">
        <v>24</v>
      </c>
      <c r="V52" s="362">
        <v>2.9991856515780482E-3</v>
      </c>
    </row>
    <row r="53" spans="2:22" x14ac:dyDescent="0.2">
      <c r="B53" s="49" t="str">
        <f>'X3'!B57</f>
        <v xml:space="preserve">BYAN </v>
      </c>
      <c r="C53" s="49" t="str">
        <f>'X3'!C57</f>
        <v>PT BAYAN RESOURCES</v>
      </c>
      <c r="D53" s="145">
        <f>'X3'!E57</f>
        <v>14483225446053</v>
      </c>
      <c r="E53" s="44">
        <f>555483921*G51</f>
        <v>7525696161708</v>
      </c>
      <c r="F53" s="185">
        <f t="shared" si="0"/>
        <v>0.9245030804918849</v>
      </c>
      <c r="H53" s="49" t="str">
        <f t="shared" si="10"/>
        <v xml:space="preserve">BYAN </v>
      </c>
      <c r="I53" s="49" t="str">
        <f t="shared" si="9"/>
        <v>PT BAYAN RESOURCES</v>
      </c>
      <c r="J53" s="145">
        <f>'X3 (2)'!K57</f>
        <v>24312400734000</v>
      </c>
      <c r="K53" s="145">
        <f>'X3'!E57</f>
        <v>14483225446053</v>
      </c>
      <c r="L53" s="147">
        <f t="shared" si="2"/>
        <v>0.67865927548795202</v>
      </c>
      <c r="N53" s="48" t="str">
        <f t="shared" si="5"/>
        <v xml:space="preserve">BYAN </v>
      </c>
      <c r="O53" s="49" t="str">
        <f t="shared" si="6"/>
        <v>PT BAYAN RESOURCES</v>
      </c>
      <c r="P53" s="145">
        <f>'X3 (3)'!D57</f>
        <v>19483649265834</v>
      </c>
      <c r="Q53" s="145">
        <f t="shared" si="7"/>
        <v>24312400734000</v>
      </c>
      <c r="R53" s="147">
        <f t="shared" si="8"/>
        <v>-0.1986126964999046</v>
      </c>
      <c r="U53" s="45" t="s">
        <v>236</v>
      </c>
      <c r="V53" s="362">
        <v>0.24854734221172015</v>
      </c>
    </row>
    <row r="54" spans="2:22" ht="30" x14ac:dyDescent="0.2">
      <c r="B54" s="49" t="str">
        <f>'X3'!B58</f>
        <v>DSSA</v>
      </c>
      <c r="C54" s="49" t="str">
        <f>'X3'!C58</f>
        <v>PT DIAN SWASTATIKA SENTOSA</v>
      </c>
      <c r="D54" s="145">
        <f>'X3'!E58</f>
        <v>17934737741466</v>
      </c>
      <c r="E54" s="44">
        <f>712054904*G51</f>
        <v>9646919839392</v>
      </c>
      <c r="F54" s="185">
        <f t="shared" si="0"/>
        <v>0.85911545239877751</v>
      </c>
      <c r="H54" s="49" t="str">
        <f t="shared" si="10"/>
        <v>DSSA</v>
      </c>
      <c r="I54" s="49" t="str">
        <f t="shared" si="9"/>
        <v>PT DIAN SWASTATIKA SENTOSA</v>
      </c>
      <c r="J54" s="145">
        <f>'X3 (2)'!K58</f>
        <v>25648190759000</v>
      </c>
      <c r="K54" s="145">
        <f>'X3'!E58</f>
        <v>17934737741466</v>
      </c>
      <c r="L54" s="147">
        <f t="shared" si="2"/>
        <v>0.43008451691490951</v>
      </c>
      <c r="N54" s="48" t="str">
        <f t="shared" si="5"/>
        <v>DSSA</v>
      </c>
      <c r="O54" s="49" t="str">
        <f t="shared" si="6"/>
        <v>PT DIAN SWASTATIKA SENTOSA</v>
      </c>
      <c r="P54" s="145">
        <f>'X3 (3)'!D58</f>
        <v>23331481749381</v>
      </c>
      <c r="Q54" s="145">
        <f t="shared" si="7"/>
        <v>25648190759000</v>
      </c>
      <c r="R54" s="147">
        <f t="shared" si="8"/>
        <v>-9.0326410599003454E-2</v>
      </c>
      <c r="U54" s="361" t="s">
        <v>236</v>
      </c>
      <c r="V54" s="362">
        <v>5.5396095109228161E-2</v>
      </c>
    </row>
    <row r="55" spans="2:22" x14ac:dyDescent="0.2">
      <c r="B55" s="49" t="str">
        <f>'X3'!B59</f>
        <v>GEMS</v>
      </c>
      <c r="C55" s="49" t="str">
        <f>'X3'!C59</f>
        <v>PT GOLDEN ENERGY MINES</v>
      </c>
      <c r="D55" s="145">
        <f>'X3'!E59</f>
        <v>10304955108927</v>
      </c>
      <c r="E55" s="44">
        <f>384339836*G51</f>
        <v>5207036098128</v>
      </c>
      <c r="F55" s="185">
        <f t="shared" si="0"/>
        <v>0.9790442998142016</v>
      </c>
      <c r="H55" s="49" t="str">
        <f t="shared" si="10"/>
        <v>GEMS</v>
      </c>
      <c r="I55" s="49" t="str">
        <f t="shared" si="9"/>
        <v>PT GOLDEN ENERGY MINES</v>
      </c>
      <c r="J55" s="145">
        <f>'X3 (2)'!K59</f>
        <v>15153348482000</v>
      </c>
      <c r="K55" s="145">
        <f>'X3'!E59</f>
        <v>10304955108927</v>
      </c>
      <c r="L55" s="147">
        <f t="shared" si="2"/>
        <v>0.47049145986797386</v>
      </c>
      <c r="N55" s="48" t="str">
        <f t="shared" si="5"/>
        <v>GEMS</v>
      </c>
      <c r="O55" s="49" t="str">
        <f t="shared" si="6"/>
        <v>PT GOLDEN ENERGY MINES</v>
      </c>
      <c r="P55" s="145">
        <f>'X3 (3)'!D59</f>
        <v>15505604878101</v>
      </c>
      <c r="Q55" s="145">
        <f t="shared" si="7"/>
        <v>15153348482000</v>
      </c>
      <c r="R55" s="147">
        <f t="shared" si="8"/>
        <v>2.3246109367802765E-2</v>
      </c>
      <c r="U55" s="360" t="s">
        <v>236</v>
      </c>
      <c r="V55" s="362">
        <v>-0.20248554020821483</v>
      </c>
    </row>
    <row r="56" spans="2:22" x14ac:dyDescent="0.2">
      <c r="B56" s="49" t="str">
        <f>'X3'!B60</f>
        <v>INCO</v>
      </c>
      <c r="C56" s="49" t="str">
        <f>'X3'!C60</f>
        <v>PT VALE INDONESIA</v>
      </c>
      <c r="D56" s="145">
        <f>'X3'!E60</f>
        <v>8539433046000</v>
      </c>
      <c r="E56" s="44">
        <f>584143000*G51</f>
        <v>7913969364000</v>
      </c>
      <c r="F56" s="185">
        <f t="shared" si="0"/>
        <v>7.9032866218206904E-2</v>
      </c>
      <c r="H56" s="49" t="str">
        <f t="shared" si="10"/>
        <v>INCO</v>
      </c>
      <c r="I56" s="49" t="str">
        <f t="shared" si="9"/>
        <v>PT VALE INDONESIA</v>
      </c>
      <c r="J56" s="145">
        <f>'X3 (2)'!K60</f>
        <v>11265050000000</v>
      </c>
      <c r="K56" s="145">
        <f>'X3'!E60</f>
        <v>8539433046000</v>
      </c>
      <c r="L56" s="147">
        <f t="shared" si="2"/>
        <v>0.31918008365634065</v>
      </c>
      <c r="N56" s="48" t="str">
        <f t="shared" si="5"/>
        <v>INCO</v>
      </c>
      <c r="O56" s="49" t="str">
        <f t="shared" si="6"/>
        <v>PT VALE INDONESIA</v>
      </c>
      <c r="P56" s="145">
        <f>'X3 (3)'!D60</f>
        <v>10948950012000</v>
      </c>
      <c r="Q56" s="145">
        <f t="shared" si="7"/>
        <v>11265050000000</v>
      </c>
      <c r="R56" s="147">
        <f t="shared" si="8"/>
        <v>-2.8060238347810261E-2</v>
      </c>
      <c r="U56" s="45" t="s">
        <v>739</v>
      </c>
      <c r="V56" s="362">
        <v>0.16599849269467296</v>
      </c>
    </row>
    <row r="57" spans="2:22" x14ac:dyDescent="0.2">
      <c r="B57" s="49" t="str">
        <f>'X3'!B61</f>
        <v>INDY</v>
      </c>
      <c r="C57" s="49" t="str">
        <f>'X3'!C61</f>
        <v>PT INDIKA ENERGY</v>
      </c>
      <c r="D57" s="145">
        <f>'X3'!E61</f>
        <v>14909077560870</v>
      </c>
      <c r="E57" s="44">
        <f>775232931*G51</f>
        <v>10502855749188</v>
      </c>
      <c r="F57" s="185">
        <f t="shared" si="0"/>
        <v>0.41952607147086213</v>
      </c>
      <c r="H57" s="49" t="str">
        <f t="shared" si="10"/>
        <v>INDY</v>
      </c>
      <c r="I57" s="49" t="str">
        <f t="shared" si="9"/>
        <v>PT INDIKA ENERGY</v>
      </c>
      <c r="J57" s="145">
        <f>'X3 (2)'!K61</f>
        <v>42961483064500</v>
      </c>
      <c r="K57" s="145">
        <f>'X3'!E61</f>
        <v>14909077560870</v>
      </c>
      <c r="L57" s="147">
        <f t="shared" si="2"/>
        <v>1.8815654683597365</v>
      </c>
      <c r="N57" s="48" t="str">
        <f t="shared" si="5"/>
        <v>INDY</v>
      </c>
      <c r="O57" s="49" t="str">
        <f t="shared" si="6"/>
        <v>PT INDIKA ENERGY</v>
      </c>
      <c r="P57" s="145">
        <f>'X3 (3)'!D61</f>
        <v>38960252556420</v>
      </c>
      <c r="Q57" s="145">
        <f t="shared" si="7"/>
        <v>42961483064500</v>
      </c>
      <c r="R57" s="147">
        <f t="shared" si="8"/>
        <v>-9.3135297542516704E-2</v>
      </c>
      <c r="U57" s="361" t="s">
        <v>739</v>
      </c>
      <c r="V57" s="362">
        <v>0.23025386972204068</v>
      </c>
    </row>
    <row r="58" spans="2:22" ht="30" x14ac:dyDescent="0.2">
      <c r="B58" s="49" t="str">
        <f>'X3'!B62</f>
        <v>ITMG</v>
      </c>
      <c r="C58" s="49" t="str">
        <f>'X3'!C62</f>
        <v>PT INDO TAMBANGRAYA MEGAH</v>
      </c>
      <c r="D58" s="145">
        <f>'X3'!E62</f>
        <v>22925164725000</v>
      </c>
      <c r="E58" s="44">
        <f>1367498000*G51</f>
        <v>18526862904000</v>
      </c>
      <c r="F58" s="185">
        <f t="shared" si="0"/>
        <v>0.23740132605236663</v>
      </c>
      <c r="H58" s="49" t="str">
        <f t="shared" si="10"/>
        <v>ITMG</v>
      </c>
      <c r="I58" s="49" t="str">
        <f t="shared" si="9"/>
        <v>PT INDO TAMBANGRAYA MEGAH</v>
      </c>
      <c r="J58" s="145">
        <f>'X3 (2)'!K62</f>
        <v>29110635000000</v>
      </c>
      <c r="K58" s="145">
        <f>'X3'!E62</f>
        <v>22925164725000</v>
      </c>
      <c r="L58" s="147">
        <f t="shared" si="2"/>
        <v>0.26981137754943657</v>
      </c>
      <c r="N58" s="48" t="str">
        <f t="shared" si="5"/>
        <v>ITMG</v>
      </c>
      <c r="O58" s="49" t="str">
        <f t="shared" si="6"/>
        <v>PT INDO TAMBANGRAYA MEGAH</v>
      </c>
      <c r="P58" s="145">
        <f>'X3 (3)'!D62</f>
        <v>24019975590000</v>
      </c>
      <c r="Q58" s="145">
        <f t="shared" si="7"/>
        <v>29110635000000</v>
      </c>
      <c r="R58" s="147">
        <f t="shared" si="8"/>
        <v>-0.17487283977144435</v>
      </c>
      <c r="U58" s="360" t="s">
        <v>739</v>
      </c>
      <c r="V58" s="362">
        <v>-9.9920144956759216E-2</v>
      </c>
    </row>
    <row r="59" spans="2:22" ht="30" x14ac:dyDescent="0.2">
      <c r="B59" s="49" t="str">
        <f>'X3'!B63</f>
        <v>MEDC</v>
      </c>
      <c r="C59" s="49" t="str">
        <f>'X3'!C63</f>
        <v>PT MEDCO ENERGI INTERNATIONAL</v>
      </c>
      <c r="D59" s="145">
        <f>'X3'!E63</f>
        <v>12560048238720</v>
      </c>
      <c r="E59" s="44">
        <f>590036982*G51</f>
        <v>7993821032136</v>
      </c>
      <c r="F59" s="185">
        <f t="shared" si="0"/>
        <v>0.57121959426252944</v>
      </c>
      <c r="H59" s="49" t="str">
        <f t="shared" si="10"/>
        <v>MEDC</v>
      </c>
      <c r="I59" s="49" t="str">
        <f t="shared" si="9"/>
        <v>PT MEDCO ENERGI INTERNATIONAL</v>
      </c>
      <c r="J59" s="145">
        <f>'X3 (2)'!K63</f>
        <v>17664647446000</v>
      </c>
      <c r="K59" s="145">
        <f>'X3'!E63</f>
        <v>12560048238720</v>
      </c>
      <c r="L59" s="147">
        <f t="shared" si="2"/>
        <v>0.40641557343255968</v>
      </c>
      <c r="N59" s="48" t="str">
        <f t="shared" si="5"/>
        <v>MEDC</v>
      </c>
      <c r="O59" s="49" t="str">
        <f t="shared" si="6"/>
        <v>PT MEDCO ENERGI INTERNATIONAL</v>
      </c>
      <c r="P59" s="145">
        <f>'X3 (3)'!D63</f>
        <v>20137510232853</v>
      </c>
      <c r="Q59" s="145">
        <f t="shared" si="7"/>
        <v>17664647446000</v>
      </c>
      <c r="R59" s="147">
        <f t="shared" si="8"/>
        <v>0.13998936544940541</v>
      </c>
      <c r="U59" s="45" t="s">
        <v>743</v>
      </c>
      <c r="V59" s="362">
        <v>3.5355802364536219E-2</v>
      </c>
    </row>
    <row r="60" spans="2:22" x14ac:dyDescent="0.2">
      <c r="B60" s="49" t="str">
        <f>'X3'!B64</f>
        <v>MYOH</v>
      </c>
      <c r="C60" s="49" t="str">
        <f>'X3'!C64</f>
        <v>PT SAMINDO RESOURCES</v>
      </c>
      <c r="D60" s="145">
        <f>'X3'!E64</f>
        <v>2551922956227</v>
      </c>
      <c r="E60" s="44">
        <f>190106455*G51</f>
        <v>2575562252340</v>
      </c>
      <c r="F60" s="185">
        <f t="shared" si="0"/>
        <v>-9.1783050832969643E-3</v>
      </c>
      <c r="H60" s="49" t="str">
        <f t="shared" si="10"/>
        <v>MYOH</v>
      </c>
      <c r="I60" s="49" t="str">
        <f t="shared" si="9"/>
        <v>PT SAMINDO RESOURCES</v>
      </c>
      <c r="J60" s="145">
        <f>'X3 (2)'!K64</f>
        <v>3496162019000</v>
      </c>
      <c r="K60" s="145">
        <f>'X3'!E64</f>
        <v>2551922956227</v>
      </c>
      <c r="L60" s="147">
        <f t="shared" si="2"/>
        <v>0.37001080321368746</v>
      </c>
      <c r="N60" s="48" t="str">
        <f t="shared" si="5"/>
        <v>MYOH</v>
      </c>
      <c r="O60" s="49" t="str">
        <f t="shared" si="6"/>
        <v>PT SAMINDO RESOURCES</v>
      </c>
      <c r="P60" s="145">
        <f>'X3 (3)'!D64</f>
        <v>3562618728591</v>
      </c>
      <c r="Q60" s="145">
        <f t="shared" si="7"/>
        <v>3496162019000</v>
      </c>
      <c r="R60" s="147">
        <f t="shared" si="8"/>
        <v>1.9008475359505356E-2</v>
      </c>
      <c r="U60" s="361" t="s">
        <v>743</v>
      </c>
      <c r="V60" s="362">
        <v>7.994551893217107E-2</v>
      </c>
    </row>
    <row r="61" spans="2:22" x14ac:dyDescent="0.2">
      <c r="B61" s="49" t="str">
        <f>'X3'!B65</f>
        <v>PTBA</v>
      </c>
      <c r="C61" s="49" t="str">
        <f>'X3'!C65</f>
        <v>PT BUKIT ASAM</v>
      </c>
      <c r="D61" s="145">
        <f>'X3'!E65</f>
        <v>19471030000000</v>
      </c>
      <c r="E61" s="44">
        <f>14058869000000</f>
        <v>14058869000000</v>
      </c>
      <c r="F61" s="185">
        <f t="shared" si="0"/>
        <v>0.38496418168488516</v>
      </c>
      <c r="H61" s="49" t="str">
        <f t="shared" si="10"/>
        <v>PTBA</v>
      </c>
      <c r="I61" s="49" t="str">
        <f t="shared" si="9"/>
        <v>PT BUKIT ASAM</v>
      </c>
      <c r="J61" s="145">
        <f>'X3 (2)'!K65</f>
        <v>21166993000000</v>
      </c>
      <c r="K61" s="145">
        <f>'X3'!E65</f>
        <v>19471030000000</v>
      </c>
      <c r="L61" s="147">
        <f t="shared" si="2"/>
        <v>8.7101863640495644E-2</v>
      </c>
      <c r="N61" s="48" t="str">
        <f t="shared" si="5"/>
        <v>PTBA</v>
      </c>
      <c r="O61" s="49" t="str">
        <f t="shared" si="6"/>
        <v>PT BUKIT ASAM</v>
      </c>
      <c r="P61" s="145">
        <f>'X3 (3)'!D65</f>
        <v>21787564000000</v>
      </c>
      <c r="Q61" s="145">
        <f t="shared" si="7"/>
        <v>21166993000000</v>
      </c>
      <c r="R61" s="147">
        <f t="shared" si="8"/>
        <v>2.9317862957671879E-2</v>
      </c>
      <c r="U61" s="360" t="s">
        <v>743</v>
      </c>
      <c r="V61" s="362">
        <v>0.10613630393829408</v>
      </c>
    </row>
    <row r="62" spans="2:22" x14ac:dyDescent="0.2">
      <c r="B62" s="49" t="str">
        <f>'X3'!B66</f>
        <v>PTRO</v>
      </c>
      <c r="C62" s="49" t="str">
        <f>'X3'!C66</f>
        <v>PT PETROSEA</v>
      </c>
      <c r="D62" s="145">
        <f>'X3'!E66</f>
        <v>3526148892000</v>
      </c>
      <c r="E62" s="44">
        <f>209370000*G51</f>
        <v>2836544760000</v>
      </c>
      <c r="F62" s="185">
        <f t="shared" si="0"/>
        <v>0.24311413721530697</v>
      </c>
      <c r="H62" s="49" t="str">
        <f t="shared" si="10"/>
        <v>PTRO</v>
      </c>
      <c r="I62" s="49" t="str">
        <f t="shared" si="9"/>
        <v>PT PETROSEA</v>
      </c>
      <c r="J62" s="145">
        <f>'X3 (2)'!K66</f>
        <v>6753259000000</v>
      </c>
      <c r="K62" s="145">
        <f>'X3'!E66</f>
        <v>3526148892000</v>
      </c>
      <c r="L62" s="147">
        <f t="shared" si="2"/>
        <v>0.91519394297885481</v>
      </c>
      <c r="N62" s="48" t="str">
        <f t="shared" si="5"/>
        <v>PTRO</v>
      </c>
      <c r="O62" s="49" t="str">
        <f t="shared" si="6"/>
        <v>PT PETROSEA</v>
      </c>
      <c r="P62" s="145">
        <f>'X3 (3)'!D66</f>
        <v>6670650441000</v>
      </c>
      <c r="Q62" s="145">
        <f t="shared" si="7"/>
        <v>6753259000000</v>
      </c>
      <c r="R62" s="147">
        <f t="shared" si="8"/>
        <v>-1.2232399053553255E-2</v>
      </c>
      <c r="U62" s="45" t="s">
        <v>526</v>
      </c>
      <c r="V62" s="362">
        <v>6.3657158714620771E-2</v>
      </c>
    </row>
    <row r="63" spans="2:22" x14ac:dyDescent="0.2">
      <c r="B63" s="49" t="str">
        <f>'X3'!B67</f>
        <v>TINS</v>
      </c>
      <c r="C63" s="49" t="str">
        <f>'X3'!C67</f>
        <v>PT TIMAH</v>
      </c>
      <c r="D63" s="145">
        <f>'X3'!E67</f>
        <v>9217160000000</v>
      </c>
      <c r="E63" s="44">
        <v>6968294000000</v>
      </c>
      <c r="F63" s="185">
        <f t="shared" si="0"/>
        <v>0.32272834642166359</v>
      </c>
      <c r="H63" s="49" t="str">
        <f t="shared" si="10"/>
        <v>TINS</v>
      </c>
      <c r="I63" s="49" t="str">
        <f t="shared" si="9"/>
        <v>PT TIMAH</v>
      </c>
      <c r="J63" s="145">
        <f>'X3 (2)'!K67</f>
        <v>11016677000000</v>
      </c>
      <c r="K63" s="145">
        <f>'X3'!E67</f>
        <v>9217160000000</v>
      </c>
      <c r="L63" s="147">
        <f t="shared" si="2"/>
        <v>0.1952355172309041</v>
      </c>
      <c r="N63" s="48" t="str">
        <f t="shared" si="5"/>
        <v>TINS</v>
      </c>
      <c r="O63" s="49" t="str">
        <f t="shared" si="6"/>
        <v>PT TIMAH</v>
      </c>
      <c r="P63" s="145">
        <f>'X3 (3)'!D67</f>
        <v>19302627000000</v>
      </c>
      <c r="Q63" s="145">
        <f t="shared" si="7"/>
        <v>11016677000000</v>
      </c>
      <c r="R63" s="147">
        <f t="shared" si="8"/>
        <v>0.75212788756537019</v>
      </c>
      <c r="U63" s="361" t="s">
        <v>526</v>
      </c>
      <c r="V63" s="362">
        <v>0.16875211506486942</v>
      </c>
    </row>
    <row r="64" spans="2:22" x14ac:dyDescent="0.2">
      <c r="B64" s="49" t="str">
        <f>'X3'!B68</f>
        <v>TOBA</v>
      </c>
      <c r="C64" s="49" t="str">
        <f>'X3'!C68</f>
        <v>PT TOBA SEJAHTERA</v>
      </c>
      <c r="D64" s="145">
        <f>'X3'!E68</f>
        <v>4216016879844</v>
      </c>
      <c r="E64" s="44">
        <f>258271601*G51</f>
        <v>3499063650348</v>
      </c>
      <c r="F64" s="185">
        <f t="shared" si="0"/>
        <v>0.20489859606432004</v>
      </c>
      <c r="H64" s="49" t="str">
        <f t="shared" si="10"/>
        <v>TOBA</v>
      </c>
      <c r="I64" s="49" t="str">
        <f t="shared" si="9"/>
        <v>PT TOBA SEJAHTERA</v>
      </c>
      <c r="J64" s="145">
        <f>'X3 (2)'!K68</f>
        <v>7620105235500</v>
      </c>
      <c r="K64" s="145">
        <f>'X3'!E68</f>
        <v>4216016879844</v>
      </c>
      <c r="L64" s="147">
        <f t="shared" si="2"/>
        <v>0.80741810402380487</v>
      </c>
      <c r="N64" s="48" t="str">
        <f t="shared" si="5"/>
        <v>TOBA</v>
      </c>
      <c r="O64" s="49" t="str">
        <f t="shared" si="6"/>
        <v>PT TOBA SEJAHTERA</v>
      </c>
      <c r="P64" s="145">
        <f>'X3 (3)'!D68</f>
        <v>7357868510499</v>
      </c>
      <c r="Q64" s="145">
        <f t="shared" si="7"/>
        <v>7620105235500</v>
      </c>
      <c r="R64" s="147">
        <f t="shared" si="8"/>
        <v>-3.4413793103448276E-2</v>
      </c>
      <c r="U64" s="360" t="s">
        <v>526</v>
      </c>
      <c r="V64" s="362">
        <v>-0.10313727900454785</v>
      </c>
    </row>
    <row r="65" spans="2:22" x14ac:dyDescent="0.2">
      <c r="B65" s="49" t="str">
        <f>'X3'!B69</f>
        <v>AMFG</v>
      </c>
      <c r="C65" s="49" t="str">
        <f>'X3'!C69</f>
        <v>PT ASAHIMAS FLAT GLASS</v>
      </c>
      <c r="D65" s="145">
        <f>'X3'!E69</f>
        <v>3885791000000</v>
      </c>
      <c r="E65" s="44">
        <v>3724075000000</v>
      </c>
      <c r="F65" s="185">
        <f t="shared" si="0"/>
        <v>4.3424474533944671E-2</v>
      </c>
      <c r="H65" s="49" t="str">
        <f t="shared" si="10"/>
        <v>AMFG</v>
      </c>
      <c r="I65" s="49" t="str">
        <f t="shared" si="9"/>
        <v>PT ASAHIMAS FLAT GLASS</v>
      </c>
      <c r="J65" s="145">
        <f>'X3 (2)'!K69</f>
        <v>4443262000000</v>
      </c>
      <c r="K65" s="145">
        <f>'X3'!E69</f>
        <v>3885791000000</v>
      </c>
      <c r="L65" s="147">
        <f t="shared" si="2"/>
        <v>0.1434639691120804</v>
      </c>
      <c r="N65" s="48" t="str">
        <f t="shared" si="5"/>
        <v>AMFG</v>
      </c>
      <c r="O65" s="49" t="str">
        <f t="shared" si="6"/>
        <v>PT ASAHIMAS FLAT GLASS</v>
      </c>
      <c r="P65" s="145">
        <f>'X3 (3)'!D69</f>
        <v>4289776000000</v>
      </c>
      <c r="Q65" s="145">
        <f t="shared" si="7"/>
        <v>4443262000000</v>
      </c>
      <c r="R65" s="147">
        <f t="shared" si="8"/>
        <v>-3.4543540308899182E-2</v>
      </c>
      <c r="U65" s="45" t="s">
        <v>412</v>
      </c>
      <c r="V65" s="362">
        <v>0.25255710680642302</v>
      </c>
    </row>
    <row r="66" spans="2:22" x14ac:dyDescent="0.2">
      <c r="B66" s="49" t="str">
        <f>'X3'!B70</f>
        <v>BRPT</v>
      </c>
      <c r="C66" s="49" t="str">
        <f>'X3'!C70</f>
        <v>PT BARITO PACIFIC</v>
      </c>
      <c r="D66" s="145">
        <f>'X3'!E70</f>
        <v>33282680943000</v>
      </c>
      <c r="E66" s="44">
        <f>1961307000*G51</f>
        <v>26571787236000</v>
      </c>
      <c r="F66" s="185">
        <f t="shared" si="0"/>
        <v>0.25255710680642302</v>
      </c>
      <c r="H66" s="49" t="str">
        <f t="shared" si="10"/>
        <v>BRPT</v>
      </c>
      <c r="I66" s="49" t="str">
        <f t="shared" si="9"/>
        <v>PT BARITO PACIFIC</v>
      </c>
      <c r="J66" s="145">
        <f>'X3 (2)'!K70</f>
        <v>44595634500000</v>
      </c>
      <c r="K66" s="145">
        <f>'X3'!E70</f>
        <v>33282680943000</v>
      </c>
      <c r="L66" s="147">
        <f t="shared" si="2"/>
        <v>0.33990511690974029</v>
      </c>
      <c r="N66" s="48" t="str">
        <f t="shared" si="5"/>
        <v>BRPT</v>
      </c>
      <c r="O66" s="49" t="str">
        <f t="shared" si="6"/>
        <v>PT BARITO PACIFIC</v>
      </c>
      <c r="P66" s="145">
        <f>'X3 (3)'!D70</f>
        <v>33636926466000</v>
      </c>
      <c r="Q66" s="145">
        <f t="shared" si="7"/>
        <v>44595634500000</v>
      </c>
      <c r="R66" s="147">
        <f t="shared" si="8"/>
        <v>-0.24573499529421428</v>
      </c>
      <c r="U66" s="361" t="s">
        <v>412</v>
      </c>
      <c r="V66" s="362">
        <v>0.33990511690974029</v>
      </c>
    </row>
    <row r="67" spans="2:22" ht="30" x14ac:dyDescent="0.2">
      <c r="B67" s="49" t="str">
        <f>'X3'!B71</f>
        <v>CPIN</v>
      </c>
      <c r="C67" s="49" t="str">
        <f>'X3'!C71</f>
        <v>PT CHAROEN POKPHAND INDONESIA</v>
      </c>
      <c r="D67" s="145">
        <f>'X3'!E71</f>
        <v>49367386000000</v>
      </c>
      <c r="E67" s="44">
        <v>38256857000000</v>
      </c>
      <c r="F67" s="185">
        <f t="shared" si="0"/>
        <v>0.29041928352870178</v>
      </c>
      <c r="H67" s="49" t="str">
        <f t="shared" si="10"/>
        <v>CPIN</v>
      </c>
      <c r="I67" s="49" t="str">
        <f t="shared" si="9"/>
        <v>PT CHAROEN POKPHAND INDONESIA</v>
      </c>
      <c r="J67" s="145">
        <f>'X3 (2)'!K71</f>
        <v>53957604000000</v>
      </c>
      <c r="K67" s="145">
        <f>'X3'!E71</f>
        <v>49367386000000</v>
      </c>
      <c r="L67" s="147">
        <f t="shared" si="2"/>
        <v>9.2980778848610696E-2</v>
      </c>
      <c r="N67" s="48" t="str">
        <f t="shared" si="5"/>
        <v>CPIN</v>
      </c>
      <c r="O67" s="49" t="str">
        <f t="shared" si="6"/>
        <v>PT CHAROEN POKPHAND INDONESIA</v>
      </c>
      <c r="P67" s="145">
        <f>'X3 (3)'!D71</f>
        <v>58634502000000</v>
      </c>
      <c r="Q67" s="145">
        <f t="shared" si="7"/>
        <v>53957604000000</v>
      </c>
      <c r="R67" s="147">
        <f t="shared" si="8"/>
        <v>8.6677273512737893E-2</v>
      </c>
      <c r="U67" s="360" t="s">
        <v>412</v>
      </c>
      <c r="V67" s="362">
        <v>-0.24573499529421428</v>
      </c>
    </row>
    <row r="68" spans="2:22" ht="30" x14ac:dyDescent="0.2">
      <c r="B68" s="49" t="str">
        <f>'X3'!B72</f>
        <v>CPRO</v>
      </c>
      <c r="C68" s="49" t="str">
        <f>'X3'!C72</f>
        <v>PT CENTRAL PROTEINA PRIMA</v>
      </c>
      <c r="D68" s="145">
        <f>'X3'!E72</f>
        <v>6575570000000</v>
      </c>
      <c r="E68" s="44">
        <v>8597208000000</v>
      </c>
      <c r="F68" s="185">
        <f t="shared" ref="F68:F80" si="11">(D68-E68)/E68</f>
        <v>-0.23515052793883781</v>
      </c>
      <c r="H68" s="48"/>
      <c r="I68" s="49" t="str">
        <f t="shared" si="9"/>
        <v>PT CENTRAL PROTEINA PRIMA</v>
      </c>
      <c r="J68" s="145">
        <f>'X3 (2)'!K72</f>
        <v>7390580000000</v>
      </c>
      <c r="K68" s="145">
        <f>'X3'!E72</f>
        <v>6575570000000</v>
      </c>
      <c r="L68" s="147">
        <f t="shared" ref="L68:L131" si="12">(J68-K68)/K68</f>
        <v>0.12394514848142442</v>
      </c>
      <c r="N68" s="48">
        <f t="shared" si="5"/>
        <v>0</v>
      </c>
      <c r="O68" s="49" t="str">
        <f t="shared" si="6"/>
        <v>PT CENTRAL PROTEINA PRIMA</v>
      </c>
      <c r="P68" s="145">
        <f>'X3 (3)'!D72</f>
        <v>7175764000000</v>
      </c>
      <c r="Q68" s="145">
        <f t="shared" si="7"/>
        <v>7390580000000</v>
      </c>
      <c r="R68" s="147">
        <f t="shared" si="8"/>
        <v>-2.9066189663057566E-2</v>
      </c>
      <c r="U68" s="45" t="s">
        <v>615</v>
      </c>
      <c r="V68" s="362">
        <v>0.56707758183714796</v>
      </c>
    </row>
    <row r="69" spans="2:22" x14ac:dyDescent="0.2">
      <c r="B69" s="49" t="str">
        <f>'X3'!B73</f>
        <v>CTBN</v>
      </c>
      <c r="C69" s="49" t="str">
        <f>'X3'!C73</f>
        <v xml:space="preserve">PT CITRA TUBINDO </v>
      </c>
      <c r="D69" s="145">
        <f>'X3'!E73</f>
        <v>674123660040</v>
      </c>
      <c r="E69" s="44">
        <f>98485071*S51</f>
        <v>1378889479071</v>
      </c>
      <c r="F69" s="185">
        <f t="shared" si="11"/>
        <v>-0.51111117296059305</v>
      </c>
      <c r="H69" s="48"/>
      <c r="I69" s="49"/>
      <c r="J69" s="145">
        <f>'X3 (2)'!K73</f>
        <v>1241102835500</v>
      </c>
      <c r="K69" s="145">
        <f>'X3'!E73</f>
        <v>674123660040</v>
      </c>
      <c r="L69" s="147">
        <f t="shared" si="12"/>
        <v>0.84106108280839387</v>
      </c>
      <c r="N69" s="48">
        <f t="shared" si="5"/>
        <v>0</v>
      </c>
      <c r="O69" s="49">
        <f t="shared" si="6"/>
        <v>0</v>
      </c>
      <c r="P69" s="145">
        <f>'X3 (3)'!D73</f>
        <v>2009971141113</v>
      </c>
      <c r="Q69" s="145">
        <f t="shared" si="7"/>
        <v>1241102835500</v>
      </c>
      <c r="R69" s="147">
        <f t="shared" si="8"/>
        <v>0.61950410845951209</v>
      </c>
      <c r="U69" s="361" t="s">
        <v>615</v>
      </c>
      <c r="V69" s="362">
        <v>-0.35937350661872414</v>
      </c>
    </row>
    <row r="70" spans="2:22" ht="30" x14ac:dyDescent="0.2">
      <c r="B70" s="49" t="str">
        <f>'X3'!B74</f>
        <v>EKAD</v>
      </c>
      <c r="C70" s="49" t="str">
        <f>'X3'!C74</f>
        <v xml:space="preserve">EKADHARMA INTERNATIONAL </v>
      </c>
      <c r="D70" s="145">
        <f>'X3'!E74</f>
        <v>643591823505</v>
      </c>
      <c r="E70" s="44">
        <v>568638832579</v>
      </c>
      <c r="F70" s="185">
        <f t="shared" si="11"/>
        <v>0.13181124227140592</v>
      </c>
      <c r="H70" s="48"/>
      <c r="I70" s="49"/>
      <c r="J70" s="145">
        <f>'X3 (2)'!K74</f>
        <v>739578860399</v>
      </c>
      <c r="K70" s="145">
        <f>'X3'!E74</f>
        <v>643591823505</v>
      </c>
      <c r="L70" s="147">
        <f t="shared" si="12"/>
        <v>0.14914272274506962</v>
      </c>
      <c r="N70" s="48"/>
      <c r="O70" s="49"/>
      <c r="P70" s="145">
        <f>'X3 (3)'!D74</f>
        <v>758299364555</v>
      </c>
      <c r="Q70" s="145">
        <f t="shared" si="7"/>
        <v>739578860399</v>
      </c>
      <c r="R70" s="147">
        <f t="shared" si="8"/>
        <v>2.5312384058544288E-2</v>
      </c>
      <c r="U70" s="360" t="s">
        <v>615</v>
      </c>
      <c r="V70" s="362">
        <v>6.8803264436339232E-2</v>
      </c>
    </row>
    <row r="71" spans="2:22" x14ac:dyDescent="0.2">
      <c r="B71" s="49" t="str">
        <f>'X3'!B75</f>
        <v>FASW</v>
      </c>
      <c r="C71" s="49" t="str">
        <f>'X3'!C75</f>
        <v>PT FAJAR SURYA WISESA</v>
      </c>
      <c r="D71" s="145">
        <f>'X3'!E75</f>
        <v>7337185138762</v>
      </c>
      <c r="E71" s="44">
        <v>5874745032615</v>
      </c>
      <c r="F71" s="185">
        <f t="shared" si="11"/>
        <v>0.24893677904792921</v>
      </c>
      <c r="H71" s="48"/>
      <c r="I71" s="49"/>
      <c r="J71" s="145">
        <f>'X3 (2)'!K75</f>
        <v>9938310691329</v>
      </c>
      <c r="K71" s="145">
        <f>'X3'!E75</f>
        <v>7337185138762</v>
      </c>
      <c r="L71" s="147">
        <f t="shared" si="12"/>
        <v>0.35451273252263699</v>
      </c>
      <c r="N71" s="48"/>
      <c r="O71" s="49"/>
      <c r="P71" s="145">
        <f>'X3 (3)'!D75</f>
        <v>8268503880196</v>
      </c>
      <c r="Q71" s="145">
        <f t="shared" si="7"/>
        <v>9938310691329</v>
      </c>
      <c r="R71" s="147">
        <f t="shared" si="8"/>
        <v>-0.16801716740349815</v>
      </c>
      <c r="U71" s="45" t="s">
        <v>247</v>
      </c>
      <c r="V71" s="362">
        <v>-0.9542397023342345</v>
      </c>
    </row>
    <row r="72" spans="2:22" x14ac:dyDescent="0.2">
      <c r="B72" s="49" t="str">
        <f>'X3'!B76</f>
        <v>INKP</v>
      </c>
      <c r="C72" s="49"/>
      <c r="D72" s="145">
        <f>'X3'!E76</f>
        <v>42442855032000</v>
      </c>
      <c r="E72" s="44">
        <f>2720473000*S51</f>
        <v>38089342473000</v>
      </c>
      <c r="F72" s="185">
        <f t="shared" si="11"/>
        <v>0.11429739334791693</v>
      </c>
      <c r="H72" s="48"/>
      <c r="I72" s="49"/>
      <c r="J72" s="145">
        <f>'X3 (2)'!K76</f>
        <v>48363894500000</v>
      </c>
      <c r="K72" s="145">
        <f>'X3'!E76</f>
        <v>42442855032000</v>
      </c>
      <c r="L72" s="147">
        <f t="shared" si="12"/>
        <v>0.139506153945954</v>
      </c>
      <c r="N72" s="48"/>
      <c r="O72" s="49"/>
      <c r="P72" s="145">
        <f>'X3 (3)'!D76</f>
        <v>45127365153000</v>
      </c>
      <c r="Q72" s="145">
        <f t="shared" si="7"/>
        <v>48363894500000</v>
      </c>
      <c r="R72" s="147">
        <f t="shared" si="8"/>
        <v>-6.6920362399682271E-2</v>
      </c>
      <c r="U72" s="361" t="s">
        <v>247</v>
      </c>
      <c r="V72" s="362">
        <v>8.321687206199975E-2</v>
      </c>
    </row>
    <row r="73" spans="2:22" x14ac:dyDescent="0.2">
      <c r="B73" s="49" t="str">
        <f>'X3'!B77</f>
        <v>INTP</v>
      </c>
      <c r="C73" s="49"/>
      <c r="D73" s="145">
        <f>'X3'!E77</f>
        <v>14431211000000</v>
      </c>
      <c r="E73" s="44">
        <v>15361894000000</v>
      </c>
      <c r="F73" s="185">
        <f t="shared" si="11"/>
        <v>-6.0583870712817053E-2</v>
      </c>
      <c r="H73" s="48"/>
      <c r="I73" s="49"/>
      <c r="J73" s="145">
        <f>'X3 (2)'!K77</f>
        <v>15190283000000</v>
      </c>
      <c r="K73" s="145">
        <f>'X3'!E77</f>
        <v>14431211000000</v>
      </c>
      <c r="L73" s="147">
        <f t="shared" si="12"/>
        <v>5.2599327942748533E-2</v>
      </c>
      <c r="N73" s="48"/>
      <c r="O73" s="49"/>
      <c r="P73" s="145">
        <f>'X3 (3)'!D77</f>
        <v>15939348000000</v>
      </c>
      <c r="Q73" s="145">
        <f t="shared" ref="Q73:Q120" si="13">J73</f>
        <v>15190283000000</v>
      </c>
      <c r="R73" s="147">
        <f t="shared" si="8"/>
        <v>4.9312116173214154E-2</v>
      </c>
      <c r="U73" s="360" t="s">
        <v>247</v>
      </c>
      <c r="V73" s="362">
        <v>0.20513722730471498</v>
      </c>
    </row>
    <row r="74" spans="2:22" x14ac:dyDescent="0.2">
      <c r="B74" s="49" t="str">
        <f>'X3'!B78</f>
        <v>IPOL</v>
      </c>
      <c r="C74" s="49"/>
      <c r="D74" s="145">
        <f>'X3'!E78</f>
        <v>2699348770758</v>
      </c>
      <c r="E74" s="44">
        <f>195626757*S51</f>
        <v>2738970224757</v>
      </c>
      <c r="F74" s="185">
        <f t="shared" si="11"/>
        <v>-1.4465821366318502E-2</v>
      </c>
      <c r="H74" s="48"/>
      <c r="I74" s="49"/>
      <c r="J74" s="145">
        <f>'X3 (2)'!K78</f>
        <v>3067807006500</v>
      </c>
      <c r="K74" s="145">
        <f>'X3'!E78</f>
        <v>2699348770758</v>
      </c>
      <c r="L74" s="147">
        <f t="shared" si="12"/>
        <v>0.13649893623732579</v>
      </c>
      <c r="N74" s="48"/>
      <c r="O74" s="49"/>
      <c r="P74" s="145">
        <f>'X3 (3)'!D78</f>
        <v>2845809909618</v>
      </c>
      <c r="Q74" s="145">
        <f t="shared" si="13"/>
        <v>3067807006500</v>
      </c>
      <c r="R74" s="147">
        <f t="shared" si="8"/>
        <v>-7.2363449334210919E-2</v>
      </c>
      <c r="U74" s="45" t="s">
        <v>136</v>
      </c>
      <c r="V74" s="362">
        <v>1.7436302280032082E-2</v>
      </c>
    </row>
    <row r="75" spans="2:22" x14ac:dyDescent="0.2">
      <c r="B75" s="49" t="str">
        <f>'X3'!B79</f>
        <v>JAPFA</v>
      </c>
      <c r="C75" s="49"/>
      <c r="D75" s="145">
        <f>'X3'!E79</f>
        <v>29602688000000</v>
      </c>
      <c r="E75" s="44">
        <v>27063310000000</v>
      </c>
      <c r="F75" s="185">
        <f t="shared" si="11"/>
        <v>9.3831020669681575E-2</v>
      </c>
      <c r="H75" s="48"/>
      <c r="I75" s="49"/>
      <c r="J75" s="145">
        <f>'X3 (2)'!K79</f>
        <v>34012965000000</v>
      </c>
      <c r="K75" s="145">
        <f>'X3'!E79</f>
        <v>29602688000000</v>
      </c>
      <c r="L75" s="147">
        <f t="shared" si="12"/>
        <v>0.14898231538973758</v>
      </c>
      <c r="N75" s="48"/>
      <c r="O75" s="49"/>
      <c r="P75" s="145">
        <f>'X3 (3)'!D79</f>
        <v>36742561000000</v>
      </c>
      <c r="Q75" s="145">
        <f t="shared" si="13"/>
        <v>34012965000000</v>
      </c>
      <c r="R75" s="147">
        <f t="shared" si="8"/>
        <v>8.0251633458006386E-2</v>
      </c>
      <c r="U75" s="361" t="s">
        <v>136</v>
      </c>
      <c r="V75" s="362">
        <v>5.4415756052988595E-2</v>
      </c>
    </row>
    <row r="76" spans="2:22" x14ac:dyDescent="0.2">
      <c r="B76" s="49" t="str">
        <f>'X3'!B80</f>
        <v>LION</v>
      </c>
      <c r="C76" s="49"/>
      <c r="D76" s="145">
        <f>'X3'!E80</f>
        <v>349690769141</v>
      </c>
      <c r="E76" s="44">
        <v>379137149036</v>
      </c>
      <c r="F76" s="185">
        <f t="shared" si="11"/>
        <v>-7.7666828401993376E-2</v>
      </c>
      <c r="H76" s="48"/>
      <c r="I76" s="49"/>
      <c r="J76" s="145">
        <f>'X3 (2)'!K80</f>
        <v>424128420727</v>
      </c>
      <c r="K76" s="145">
        <f>'X3'!E80</f>
        <v>349690769141</v>
      </c>
      <c r="L76" s="147">
        <f t="shared" si="12"/>
        <v>0.2128670761566078</v>
      </c>
      <c r="N76" s="48"/>
      <c r="O76" s="49"/>
      <c r="P76" s="145">
        <f>'X3 (3)'!D80</f>
        <v>372489022928</v>
      </c>
      <c r="Q76" s="145">
        <f t="shared" si="13"/>
        <v>424128420727</v>
      </c>
      <c r="R76" s="147">
        <f t="shared" si="8"/>
        <v>-0.12175415575896736</v>
      </c>
      <c r="U76" s="360" t="s">
        <v>136</v>
      </c>
      <c r="V76" s="362">
        <v>0.13469928335410375</v>
      </c>
    </row>
    <row r="77" spans="2:22" x14ac:dyDescent="0.2">
      <c r="B77" s="49" t="str">
        <f>'X3'!B81</f>
        <v>MAIN</v>
      </c>
      <c r="C77" s="49"/>
      <c r="D77" s="145">
        <f>'X3'!E81</f>
        <v>5441395835000</v>
      </c>
      <c r="E77" s="44">
        <v>5237701149000</v>
      </c>
      <c r="F77" s="185">
        <f t="shared" si="11"/>
        <v>3.8890093230861421E-2</v>
      </c>
      <c r="H77" s="48"/>
      <c r="I77" s="49"/>
      <c r="J77" s="145">
        <f>'X3 (2)'!K81</f>
        <v>6705892735000</v>
      </c>
      <c r="K77" s="145">
        <f>'X3'!E81</f>
        <v>5441395835000</v>
      </c>
      <c r="L77" s="147">
        <f t="shared" si="12"/>
        <v>0.23238465613299752</v>
      </c>
      <c r="N77" s="48"/>
      <c r="O77" s="49"/>
      <c r="P77" s="145">
        <f>'X3 (3)'!D81</f>
        <v>7454920083000</v>
      </c>
      <c r="Q77" s="145">
        <f t="shared" si="13"/>
        <v>6705892735000</v>
      </c>
      <c r="R77" s="147">
        <f t="shared" si="8"/>
        <v>0.11169688773734911</v>
      </c>
      <c r="U77" s="45" t="s">
        <v>250</v>
      </c>
      <c r="V77" s="362">
        <v>0.27205051899075222</v>
      </c>
    </row>
    <row r="78" spans="2:22" x14ac:dyDescent="0.2">
      <c r="B78" s="49" t="str">
        <f>'X3'!B82</f>
        <v>MARK</v>
      </c>
      <c r="C78" s="49"/>
      <c r="D78" s="145">
        <f>'X3'!E82</f>
        <v>239786317679</v>
      </c>
      <c r="E78" s="44">
        <v>207224050595</v>
      </c>
      <c r="F78" s="185">
        <f t="shared" si="11"/>
        <v>0.1571355592678762</v>
      </c>
      <c r="H78" s="48"/>
      <c r="I78" s="49"/>
      <c r="J78" s="145">
        <f>'X3 (2)'!K82</f>
        <v>325472602675</v>
      </c>
      <c r="K78" s="145">
        <f>'X3'!E82</f>
        <v>239786317679</v>
      </c>
      <c r="L78" s="147">
        <f t="shared" si="12"/>
        <v>0.35734434652233799</v>
      </c>
      <c r="N78" s="48"/>
      <c r="O78" s="49"/>
      <c r="P78" s="145">
        <f>'X3 (3)'!D82</f>
        <v>361544998431</v>
      </c>
      <c r="Q78" s="145">
        <f t="shared" si="13"/>
        <v>325472602675</v>
      </c>
      <c r="R78" s="147">
        <f t="shared" si="8"/>
        <v>0.11083082096473729</v>
      </c>
      <c r="U78" s="361" t="s">
        <v>250</v>
      </c>
      <c r="V78" s="362">
        <v>0.4025536682129931</v>
      </c>
    </row>
    <row r="79" spans="2:22" x14ac:dyDescent="0.2">
      <c r="B79" s="49" t="str">
        <f>'X3'!B83</f>
        <v>SMCB</v>
      </c>
      <c r="C79" s="49"/>
      <c r="D79" s="145">
        <f>'X3'!E83</f>
        <v>9382120000000</v>
      </c>
      <c r="E79" s="44">
        <v>9458403000000</v>
      </c>
      <c r="F79" s="185">
        <f t="shared" si="11"/>
        <v>-8.0651035909550476E-3</v>
      </c>
      <c r="H79" s="48"/>
      <c r="I79" s="49"/>
      <c r="J79" s="145">
        <f>'X3 (2)'!K83</f>
        <v>10377729000000</v>
      </c>
      <c r="K79" s="145">
        <f>'X3'!E83</f>
        <v>9382120000000</v>
      </c>
      <c r="L79" s="147">
        <f t="shared" si="12"/>
        <v>0.10611770047707768</v>
      </c>
      <c r="N79" s="48"/>
      <c r="O79" s="49"/>
      <c r="P79" s="145">
        <f>'X3 (3)'!D83</f>
        <v>11057843000000</v>
      </c>
      <c r="Q79" s="145">
        <f t="shared" si="13"/>
        <v>10377729000000</v>
      </c>
      <c r="R79" s="147">
        <f t="shared" ref="R79:R87" si="14">(P79-Q79)/Q79</f>
        <v>6.5535918311222047E-2</v>
      </c>
      <c r="U79" s="360" t="s">
        <v>250</v>
      </c>
      <c r="V79" s="362">
        <v>0.14663403463769045</v>
      </c>
    </row>
    <row r="80" spans="2:22" x14ac:dyDescent="0.2">
      <c r="B80" s="49" t="str">
        <f>'X3'!B84</f>
        <v>SGMR</v>
      </c>
      <c r="C80" s="49"/>
      <c r="D80" s="145">
        <f>'X3'!E84</f>
        <v>27813664176000</v>
      </c>
      <c r="E80" s="44">
        <v>26134306138000</v>
      </c>
      <c r="F80" s="185">
        <f t="shared" si="11"/>
        <v>6.4258757402331307E-2</v>
      </c>
      <c r="H80" s="48"/>
      <c r="I80" s="49"/>
      <c r="J80" s="145">
        <f>'X3 (2)'!K84</f>
        <v>30687626000000</v>
      </c>
      <c r="K80" s="145">
        <f>'X3'!E84</f>
        <v>27813664176000</v>
      </c>
      <c r="L80" s="147">
        <f t="shared" si="12"/>
        <v>0.10332913368817832</v>
      </c>
      <c r="N80" s="48"/>
      <c r="O80" s="49"/>
      <c r="P80" s="145">
        <f>'X3 (3)'!D84</f>
        <v>40368107000000</v>
      </c>
      <c r="Q80" s="145">
        <f t="shared" si="13"/>
        <v>30687626000000</v>
      </c>
      <c r="R80" s="147">
        <f t="shared" si="14"/>
        <v>0.31545226079071742</v>
      </c>
      <c r="U80" s="45" t="s">
        <v>57</v>
      </c>
      <c r="V80" s="362">
        <v>0.1983627112362561</v>
      </c>
    </row>
    <row r="81" spans="2:22" x14ac:dyDescent="0.2">
      <c r="B81" s="49" t="str">
        <f>'X3'!B85</f>
        <v>TRST</v>
      </c>
      <c r="C81" s="49"/>
      <c r="D81" s="145">
        <f>'X3'!E85</f>
        <v>2354938016436</v>
      </c>
      <c r="E81" s="44">
        <v>2249418846803</v>
      </c>
      <c r="F81" s="48">
        <f t="shared" ref="F81:F141" si="15">(D81-E81)/E81</f>
        <v>4.690952500152195E-2</v>
      </c>
      <c r="H81" s="48"/>
      <c r="I81" s="49"/>
      <c r="J81" s="145">
        <f>'X3 (2)'!K85</f>
        <v>2630918557954</v>
      </c>
      <c r="K81" s="145">
        <f>'X3'!E85</f>
        <v>2354938016436</v>
      </c>
      <c r="L81" s="147">
        <f t="shared" si="12"/>
        <v>0.1171922741031092</v>
      </c>
      <c r="N81" s="48"/>
      <c r="O81" s="49"/>
      <c r="P81" s="145">
        <f>'X3 (3)'!D85</f>
        <v>2566094747992</v>
      </c>
      <c r="Q81" s="145">
        <f t="shared" si="13"/>
        <v>2630918557954</v>
      </c>
      <c r="R81" s="147">
        <f t="shared" si="14"/>
        <v>-2.463923095073375E-2</v>
      </c>
      <c r="U81" s="361" t="s">
        <v>57</v>
      </c>
      <c r="V81" s="362">
        <v>1.2290073980106068E-2</v>
      </c>
    </row>
    <row r="82" spans="2:22" x14ac:dyDescent="0.2">
      <c r="B82" s="49" t="str">
        <f>'X3'!B86</f>
        <v>UNIC</v>
      </c>
      <c r="C82" s="49"/>
      <c r="D82" s="145">
        <f>'X3'!E86</f>
        <v>4349532406887</v>
      </c>
      <c r="E82" s="44">
        <f>276111954*S51</f>
        <v>3865843467954</v>
      </c>
      <c r="F82" s="48">
        <f t="shared" si="15"/>
        <v>0.12511860424317509</v>
      </c>
      <c r="H82" s="48"/>
      <c r="I82" s="49"/>
      <c r="J82" s="145">
        <f>'X3 (2)'!K86</f>
        <v>5080761850500</v>
      </c>
      <c r="K82" s="145">
        <f>'X3'!E86</f>
        <v>4349532406887</v>
      </c>
      <c r="L82" s="147">
        <f t="shared" si="12"/>
        <v>0.16811679399265531</v>
      </c>
      <c r="N82" s="48"/>
      <c r="O82" s="49"/>
      <c r="P82" s="145">
        <f>'X3 (3)'!D86</f>
        <v>4509701994564</v>
      </c>
      <c r="Q82" s="145">
        <f t="shared" si="13"/>
        <v>5080761850500</v>
      </c>
      <c r="R82" s="147">
        <f t="shared" si="14"/>
        <v>-0.11239650130025318</v>
      </c>
      <c r="U82" s="360" t="s">
        <v>57</v>
      </c>
      <c r="V82" s="362">
        <v>-0.18505774003863931</v>
      </c>
    </row>
    <row r="83" spans="2:22" x14ac:dyDescent="0.2">
      <c r="B83" s="49" t="str">
        <f>'X3'!B87</f>
        <v>ASII</v>
      </c>
      <c r="C83" s="49"/>
      <c r="D83" s="145">
        <f>'X3'!E87</f>
        <v>206057000000000</v>
      </c>
      <c r="E83" s="44">
        <v>81948000000000</v>
      </c>
      <c r="F83" s="48">
        <f t="shared" si="15"/>
        <v>1.5144847952360032</v>
      </c>
      <c r="H83" s="48"/>
      <c r="I83" s="49"/>
      <c r="J83" s="145">
        <f>'X3 (2)'!K87</f>
        <v>239205000000000</v>
      </c>
      <c r="K83" s="145">
        <f>'X3'!E87</f>
        <v>206057000000000</v>
      </c>
      <c r="L83" s="147">
        <f t="shared" si="12"/>
        <v>0.16086810930955997</v>
      </c>
      <c r="N83" s="48"/>
      <c r="O83" s="49"/>
      <c r="P83" s="145">
        <f>'X3 (3)'!D87</f>
        <v>237166000000000</v>
      </c>
      <c r="Q83" s="145">
        <f t="shared" si="13"/>
        <v>239205000000000</v>
      </c>
      <c r="R83" s="147">
        <f t="shared" si="14"/>
        <v>-8.5240693129324217E-3</v>
      </c>
      <c r="U83" s="45" t="s">
        <v>349</v>
      </c>
      <c r="V83" s="362">
        <v>0.9245030804918849</v>
      </c>
    </row>
    <row r="84" spans="2:22" x14ac:dyDescent="0.2">
      <c r="B84" s="49" t="str">
        <f>'X3'!B88</f>
        <v>AUTO</v>
      </c>
      <c r="C84" s="49"/>
      <c r="D84" s="145">
        <f>'X3'!E88</f>
        <v>13549857000000</v>
      </c>
      <c r="E84" s="44">
        <v>12806867000000</v>
      </c>
      <c r="F84" s="48">
        <f t="shared" si="15"/>
        <v>5.8014969625279939E-2</v>
      </c>
      <c r="H84" s="48"/>
      <c r="I84" s="49"/>
      <c r="J84" s="145">
        <f>'X3 (2)'!K88</f>
        <v>15356381000000</v>
      </c>
      <c r="K84" s="145">
        <f>'X3'!E88</f>
        <v>13549857000000</v>
      </c>
      <c r="L84" s="147">
        <f t="shared" si="12"/>
        <v>0.13332421146584794</v>
      </c>
      <c r="N84" s="48"/>
      <c r="O84" s="49"/>
      <c r="P84" s="145">
        <f>'X3 (3)'!D88</f>
        <v>15444775000000</v>
      </c>
      <c r="Q84" s="145">
        <f t="shared" si="13"/>
        <v>15356381000000</v>
      </c>
      <c r="R84" s="147">
        <f t="shared" si="14"/>
        <v>5.7561739318658482E-3</v>
      </c>
      <c r="U84" s="361" t="s">
        <v>349</v>
      </c>
      <c r="V84" s="362">
        <v>0.67865927548795202</v>
      </c>
    </row>
    <row r="85" spans="2:22" x14ac:dyDescent="0.2">
      <c r="B85" s="49" t="str">
        <f>'X3'!B89</f>
        <v>BATA</v>
      </c>
      <c r="C85" s="49"/>
      <c r="D85" s="145">
        <f>'X3'!E89</f>
        <v>974536083000</v>
      </c>
      <c r="E85" s="44">
        <v>999802379000</v>
      </c>
      <c r="F85" s="48">
        <f t="shared" si="15"/>
        <v>-2.5271290137628289E-2</v>
      </c>
      <c r="H85" s="48"/>
      <c r="I85" s="49"/>
      <c r="J85" s="145">
        <f>'X3 (2)'!K89</f>
        <v>992696071000</v>
      </c>
      <c r="K85" s="145">
        <f>'X3'!E89</f>
        <v>974536083000</v>
      </c>
      <c r="L85" s="147">
        <f t="shared" si="12"/>
        <v>1.8634495240131606E-2</v>
      </c>
      <c r="N85" s="48"/>
      <c r="O85" s="49"/>
      <c r="P85" s="145">
        <f>'X3 (3)'!D89</f>
        <v>931271436000</v>
      </c>
      <c r="Q85" s="145">
        <f t="shared" si="13"/>
        <v>992696071000</v>
      </c>
      <c r="R85" s="147">
        <f t="shared" si="14"/>
        <v>-6.1876577126092E-2</v>
      </c>
      <c r="U85" s="360" t="s">
        <v>349</v>
      </c>
      <c r="V85" s="362">
        <v>-0.1986126964999046</v>
      </c>
    </row>
    <row r="86" spans="2:22" x14ac:dyDescent="0.2">
      <c r="B86" s="49" t="str">
        <f>'X3'!B90</f>
        <v>BRAM</v>
      </c>
      <c r="C86" s="49"/>
      <c r="D86" s="145">
        <f>'X3'!E90</f>
        <v>3280750229733</v>
      </c>
      <c r="E86" s="44">
        <f>220298959*S51</f>
        <v>3084405724959</v>
      </c>
      <c r="F86" s="48">
        <f t="shared" si="15"/>
        <v>6.3657158714620771E-2</v>
      </c>
      <c r="H86" s="48"/>
      <c r="I86" s="49"/>
      <c r="J86" s="145">
        <f>'X3 (2)'!K90</f>
        <v>3834383770000</v>
      </c>
      <c r="K86" s="145">
        <f>'X3'!E90</f>
        <v>3280750229733</v>
      </c>
      <c r="L86" s="147">
        <f t="shared" si="12"/>
        <v>0.16875211506486942</v>
      </c>
      <c r="N86" s="48"/>
      <c r="O86" s="49"/>
      <c r="P86" s="145">
        <f>'X3 (3)'!D90</f>
        <v>3438915861303</v>
      </c>
      <c r="Q86" s="145">
        <f t="shared" si="13"/>
        <v>3834383770000</v>
      </c>
      <c r="R86" s="147">
        <f t="shared" si="14"/>
        <v>-0.10313727900454785</v>
      </c>
      <c r="U86" s="45" t="s">
        <v>142</v>
      </c>
      <c r="V86" s="362">
        <v>3.4551156077801889E-2</v>
      </c>
    </row>
    <row r="87" spans="2:22" x14ac:dyDescent="0.2">
      <c r="B87" s="49" t="str">
        <f>'X3'!B91</f>
        <v>GDYR</v>
      </c>
      <c r="C87" s="49"/>
      <c r="D87" s="145">
        <f>'X3'!E91</f>
        <v>2188157415621</v>
      </c>
      <c r="E87" s="44">
        <f>155170602*S51</f>
        <v>2172543598602</v>
      </c>
      <c r="F87" s="48">
        <f t="shared" si="15"/>
        <v>7.1868831672916769E-3</v>
      </c>
      <c r="H87" s="48"/>
      <c r="I87" s="49"/>
      <c r="J87" s="145">
        <f>'X3 (2)'!K91</f>
        <v>2318959030500</v>
      </c>
      <c r="K87" s="145">
        <f>'X3'!E91</f>
        <v>2188157415621</v>
      </c>
      <c r="L87" s="147">
        <f t="shared" si="12"/>
        <v>5.9777058974469825E-2</v>
      </c>
      <c r="N87" s="48"/>
      <c r="O87" s="49"/>
      <c r="P87" s="145">
        <f>'X3 (3)'!D91</f>
        <v>1950561047838</v>
      </c>
      <c r="Q87" s="145">
        <f t="shared" si="13"/>
        <v>2318959030500</v>
      </c>
      <c r="R87" s="147">
        <f t="shared" si="14"/>
        <v>-0.15886351497230558</v>
      </c>
      <c r="U87" s="361" t="s">
        <v>142</v>
      </c>
      <c r="V87" s="362">
        <v>-0.14759264930626503</v>
      </c>
    </row>
    <row r="88" spans="2:22" x14ac:dyDescent="0.2">
      <c r="B88" s="49" t="str">
        <f>'X3'!B92</f>
        <v>GJTL</v>
      </c>
      <c r="C88" s="49"/>
      <c r="D88" s="145">
        <f>'X3'!E92</f>
        <v>14146918000000</v>
      </c>
      <c r="E88" s="44">
        <v>13633556000000</v>
      </c>
      <c r="F88" s="48">
        <f t="shared" si="15"/>
        <v>3.7654299435891853E-2</v>
      </c>
      <c r="H88" s="48"/>
      <c r="I88" s="49"/>
      <c r="J88" s="145">
        <f>'X3 (2)'!K92</f>
        <v>15349939000000</v>
      </c>
      <c r="K88" s="145">
        <f>'X3'!E92</f>
        <v>14146918000000</v>
      </c>
      <c r="L88" s="147">
        <f t="shared" si="12"/>
        <v>8.503767393010972E-2</v>
      </c>
      <c r="N88" s="48"/>
      <c r="O88" s="49"/>
      <c r="P88" s="145">
        <f>'X3 (3)'!D92</f>
        <v>15939421000000</v>
      </c>
      <c r="Q88" s="145">
        <f t="shared" si="13"/>
        <v>15349939000000</v>
      </c>
      <c r="R88" s="147">
        <f>(P88-Q88)/Q88</f>
        <v>3.8402888767180114E-2</v>
      </c>
      <c r="U88" s="360" t="s">
        <v>142</v>
      </c>
      <c r="V88" s="362">
        <v>-0.1400784230371511</v>
      </c>
    </row>
    <row r="89" spans="2:22" x14ac:dyDescent="0.2">
      <c r="B89" s="49" t="str">
        <f>'X3'!B93</f>
        <v>GMFI</v>
      </c>
      <c r="C89" s="49"/>
      <c r="D89" s="145">
        <f>'X3'!E93</f>
        <v>5960607172698</v>
      </c>
      <c r="E89" s="44">
        <f>388662512*S51</f>
        <v>5441663830512</v>
      </c>
      <c r="F89" s="48">
        <f t="shared" si="15"/>
        <v>9.5364829278175606E-2</v>
      </c>
      <c r="H89" s="48"/>
      <c r="I89" s="49"/>
      <c r="J89" s="145">
        <f>'X3 (2)'!K93</f>
        <v>6815286897000</v>
      </c>
      <c r="K89" s="145">
        <f>'X3'!E93</f>
        <v>5960607172698</v>
      </c>
      <c r="L89" s="147">
        <f t="shared" si="12"/>
        <v>0.143388030705459</v>
      </c>
      <c r="N89" s="48"/>
      <c r="O89" s="49"/>
      <c r="P89" s="145">
        <f>'X3 (3)'!D93</f>
        <v>7273302274485</v>
      </c>
      <c r="Q89" s="145">
        <f t="shared" si="13"/>
        <v>6815286897000</v>
      </c>
      <c r="R89" s="147">
        <f t="shared" ref="R89:R120" si="16">(P89-Q89)/Q89</f>
        <v>6.7204122791457599E-2</v>
      </c>
      <c r="U89" s="45" t="s">
        <v>419</v>
      </c>
      <c r="V89" s="362">
        <v>0.29041928352870178</v>
      </c>
    </row>
    <row r="90" spans="2:22" x14ac:dyDescent="0.2">
      <c r="B90" s="49" t="str">
        <f>'X3'!B94</f>
        <v>HDTX</v>
      </c>
      <c r="C90" s="49"/>
      <c r="D90" s="145">
        <f>'X3'!E94</f>
        <v>1293363942000</v>
      </c>
      <c r="E90" s="44">
        <v>1647106585000</v>
      </c>
      <c r="F90" s="48">
        <f t="shared" si="15"/>
        <v>-0.21476609116950376</v>
      </c>
      <c r="H90" s="48"/>
      <c r="I90" s="49"/>
      <c r="J90" s="145">
        <f>'X3 (2)'!K94</f>
        <v>528163920000</v>
      </c>
      <c r="K90" s="145">
        <f>'X3'!E94</f>
        <v>1293363942000</v>
      </c>
      <c r="L90" s="147">
        <f t="shared" si="12"/>
        <v>-0.59163549960788997</v>
      </c>
      <c r="N90" s="48"/>
      <c r="O90" s="49"/>
      <c r="P90" s="145">
        <f>'X3 (3)'!D94</f>
        <v>8369686000</v>
      </c>
      <c r="Q90" s="145">
        <f t="shared" si="13"/>
        <v>528163920000</v>
      </c>
      <c r="R90" s="147">
        <f t="shared" si="16"/>
        <v>-0.9841532416678519</v>
      </c>
      <c r="U90" s="361" t="s">
        <v>419</v>
      </c>
      <c r="V90" s="362">
        <v>9.2980778848610696E-2</v>
      </c>
    </row>
    <row r="91" spans="2:22" x14ac:dyDescent="0.2">
      <c r="B91" s="49" t="str">
        <f>'X3'!B95</f>
        <v>IMAS</v>
      </c>
      <c r="C91" s="49"/>
      <c r="D91" s="145">
        <f>'X3'!E95</f>
        <v>15359437288255</v>
      </c>
      <c r="E91" s="44">
        <v>15049532331662</v>
      </c>
      <c r="F91" s="48">
        <f t="shared" si="15"/>
        <v>2.0592331360424113E-2</v>
      </c>
      <c r="H91" s="48"/>
      <c r="I91" s="49"/>
      <c r="J91" s="145">
        <f>'X3 (2)'!K95</f>
        <v>17878271522708</v>
      </c>
      <c r="K91" s="145">
        <f>'X3'!E95</f>
        <v>15359437288255</v>
      </c>
      <c r="L91" s="147">
        <f t="shared" si="12"/>
        <v>0.16399261165505674</v>
      </c>
      <c r="N91" s="48"/>
      <c r="O91" s="49"/>
      <c r="P91" s="145">
        <f>'X3 (3)'!D95</f>
        <v>18615129696492</v>
      </c>
      <c r="Q91" s="145">
        <f t="shared" si="13"/>
        <v>17878271522708</v>
      </c>
      <c r="R91" s="147">
        <f t="shared" si="16"/>
        <v>4.1215291581632105E-2</v>
      </c>
      <c r="U91" s="360" t="s">
        <v>419</v>
      </c>
      <c r="V91" s="362">
        <v>8.6677273512737893E-2</v>
      </c>
    </row>
    <row r="92" spans="2:22" x14ac:dyDescent="0.2">
      <c r="B92" s="49" t="str">
        <f>'X3'!B96</f>
        <v>INDR</v>
      </c>
      <c r="C92" s="49"/>
      <c r="D92" s="145">
        <f>'X3'!E96</f>
        <v>10555665071295</v>
      </c>
      <c r="E92" s="44">
        <f>691758965*S51</f>
        <v>9685317268965</v>
      </c>
      <c r="F92" s="48">
        <f t="shared" si="15"/>
        <v>8.98626011064073E-2</v>
      </c>
      <c r="H92" s="48"/>
      <c r="I92" s="49"/>
      <c r="J92" s="145">
        <f>'X3 (2)'!K96</f>
        <v>12172088220000</v>
      </c>
      <c r="K92" s="145">
        <f>'X3'!E96</f>
        <v>10555665071295</v>
      </c>
      <c r="L92" s="147">
        <f t="shared" si="12"/>
        <v>0.15313323582998947</v>
      </c>
      <c r="N92" s="48"/>
      <c r="O92" s="49"/>
      <c r="P92" s="145">
        <f>'X3 (3)'!D96</f>
        <v>10749260665494</v>
      </c>
      <c r="Q92" s="145">
        <f t="shared" si="13"/>
        <v>12172088220000</v>
      </c>
      <c r="R92" s="147">
        <f t="shared" si="16"/>
        <v>-0.11689264231326775</v>
      </c>
      <c r="U92" s="45" t="s">
        <v>423</v>
      </c>
      <c r="V92" s="362">
        <v>-0.23515052793883781</v>
      </c>
    </row>
    <row r="93" spans="2:22" x14ac:dyDescent="0.2">
      <c r="B93" s="49" t="str">
        <f>'X3'!B97</f>
        <v>KBLI</v>
      </c>
      <c r="C93" s="49"/>
      <c r="D93" s="145">
        <f>'X3'!E97</f>
        <v>3186704707526</v>
      </c>
      <c r="E93" s="44">
        <v>2812196217447</v>
      </c>
      <c r="F93" s="48">
        <f t="shared" si="15"/>
        <v>0.1331729584712231</v>
      </c>
      <c r="H93" s="48"/>
      <c r="I93" s="49"/>
      <c r="J93" s="145">
        <f>'X3 (2)'!K97</f>
        <v>4239937390001</v>
      </c>
      <c r="K93" s="145">
        <f>'X3'!E97</f>
        <v>3186704707526</v>
      </c>
      <c r="L93" s="147">
        <f t="shared" si="12"/>
        <v>0.3305084026102556</v>
      </c>
      <c r="N93" s="48"/>
      <c r="O93" s="49"/>
      <c r="P93" s="145">
        <f>'X3 (3)'!D97</f>
        <v>4500555248155</v>
      </c>
      <c r="Q93" s="145">
        <f t="shared" si="13"/>
        <v>4239937390001</v>
      </c>
      <c r="R93" s="147">
        <f t="shared" si="16"/>
        <v>6.1467383638402859E-2</v>
      </c>
      <c r="U93" s="361" t="s">
        <v>423</v>
      </c>
      <c r="V93" s="362">
        <v>0.12394514848142442</v>
      </c>
    </row>
    <row r="94" spans="2:22" x14ac:dyDescent="0.2">
      <c r="B94" s="49" t="str">
        <f>'X3'!B98</f>
        <v>MASA</v>
      </c>
      <c r="C94" s="49"/>
      <c r="D94" s="145">
        <f>'X3'!E98</f>
        <v>3812547291873</v>
      </c>
      <c r="E94" s="44">
        <f>229800572*S51</f>
        <v>3217437808572</v>
      </c>
      <c r="F94" s="48">
        <f t="shared" si="15"/>
        <v>0.18496378755651172</v>
      </c>
      <c r="H94" s="48"/>
      <c r="I94" s="49"/>
      <c r="J94" s="145">
        <f>'X3 (2)'!K98</f>
        <v>4330291324500</v>
      </c>
      <c r="K94" s="145">
        <f>'X3'!E98</f>
        <v>3812547291873</v>
      </c>
      <c r="L94" s="147">
        <f t="shared" si="12"/>
        <v>0.13580002895456453</v>
      </c>
      <c r="N94" s="48"/>
      <c r="O94" s="49"/>
      <c r="P94" s="145">
        <f>'X3 (3)'!D98</f>
        <v>4456004421297</v>
      </c>
      <c r="Q94" s="145">
        <f t="shared" si="13"/>
        <v>4330291324500</v>
      </c>
      <c r="R94" s="147">
        <f t="shared" si="16"/>
        <v>2.9031094533002476E-2</v>
      </c>
      <c r="U94" s="360" t="s">
        <v>423</v>
      </c>
      <c r="V94" s="362">
        <v>-2.9066189663057566E-2</v>
      </c>
    </row>
    <row r="95" spans="2:22" x14ac:dyDescent="0.2">
      <c r="B95" s="49" t="str">
        <f>'X3'!B99</f>
        <v>PBRX</v>
      </c>
      <c r="C95" s="49"/>
      <c r="D95" s="145">
        <f>'X3'!E99</f>
        <v>7454208660234</v>
      </c>
      <c r="E95" s="44">
        <f>482204159*S51</f>
        <v>6751340430159</v>
      </c>
      <c r="F95" s="48">
        <f t="shared" si="15"/>
        <v>0.10410795268672993</v>
      </c>
      <c r="H95" s="48"/>
      <c r="I95" s="49"/>
      <c r="J95" s="145">
        <f>'X3 (2)'!K99</f>
        <v>8864884009500</v>
      </c>
      <c r="K95" s="145">
        <f>'X3'!E99</f>
        <v>7454208660234</v>
      </c>
      <c r="L95" s="147">
        <f t="shared" si="12"/>
        <v>0.18924548715567033</v>
      </c>
      <c r="N95" s="48"/>
      <c r="O95" s="49"/>
      <c r="P95" s="145">
        <f>'X3 (3)'!D99</f>
        <v>9311351651043</v>
      </c>
      <c r="Q95" s="145">
        <f t="shared" si="13"/>
        <v>8864884009500</v>
      </c>
      <c r="R95" s="147">
        <f t="shared" si="16"/>
        <v>5.0363619091298391E-2</v>
      </c>
      <c r="U95" s="45" t="s">
        <v>427</v>
      </c>
      <c r="V95" s="362">
        <v>-0.51111117296059305</v>
      </c>
    </row>
    <row r="96" spans="2:22" x14ac:dyDescent="0.2">
      <c r="B96" s="49" t="str">
        <f>'X3'!B100</f>
        <v>PTSN</v>
      </c>
      <c r="C96" s="49"/>
      <c r="D96" s="145">
        <f>'X3'!E100</f>
        <v>1165358354151</v>
      </c>
      <c r="E96" s="44">
        <f>83049100*S51</f>
        <v>1162770449100</v>
      </c>
      <c r="F96" s="48">
        <f t="shared" si="15"/>
        <v>2.2256371006014759E-3</v>
      </c>
      <c r="H96" s="48"/>
      <c r="I96" s="49"/>
      <c r="J96" s="145">
        <f>'X3 (2)'!K100</f>
        <v>5576327524000</v>
      </c>
      <c r="K96" s="145">
        <f>'X3'!E100</f>
        <v>1165358354151</v>
      </c>
      <c r="L96" s="147">
        <f t="shared" si="12"/>
        <v>3.7850753411061517</v>
      </c>
      <c r="N96" s="48"/>
      <c r="O96" s="49"/>
      <c r="P96" s="145">
        <f>'X3 (3)'!D100</f>
        <v>4622162912913</v>
      </c>
      <c r="Q96" s="145">
        <f t="shared" si="13"/>
        <v>5576327524000</v>
      </c>
      <c r="R96" s="147">
        <f t="shared" si="16"/>
        <v>-0.17110985805269927</v>
      </c>
      <c r="U96" s="361" t="s">
        <v>427</v>
      </c>
      <c r="V96" s="362">
        <v>0.84106108280839387</v>
      </c>
    </row>
    <row r="97" spans="2:22" x14ac:dyDescent="0.2">
      <c r="B97" s="49" t="str">
        <f>'X3'!B101</f>
        <v>RICY</v>
      </c>
      <c r="C97" s="49"/>
      <c r="D97" s="145">
        <f>'X3'!E101</f>
        <v>1600432168098</v>
      </c>
      <c r="E97" s="44">
        <v>1221519096811</v>
      </c>
      <c r="F97" s="48">
        <f t="shared" si="15"/>
        <v>0.31019823781406464</v>
      </c>
      <c r="H97" s="48"/>
      <c r="I97" s="49"/>
      <c r="J97" s="145">
        <f>'X3 (2)'!K101</f>
        <v>2107868384272</v>
      </c>
      <c r="K97" s="145">
        <f>'X3'!E101</f>
        <v>1600432168098</v>
      </c>
      <c r="L97" s="147">
        <f t="shared" si="12"/>
        <v>0.3170619950591545</v>
      </c>
      <c r="N97" s="48"/>
      <c r="O97" s="49"/>
      <c r="P97" s="145">
        <f>'X3 (3)'!D101</f>
        <v>2151323988585</v>
      </c>
      <c r="Q97" s="145">
        <f t="shared" si="13"/>
        <v>2107868384272</v>
      </c>
      <c r="R97" s="147">
        <f t="shared" si="16"/>
        <v>2.0615900232313782E-2</v>
      </c>
      <c r="U97" s="360" t="s">
        <v>427</v>
      </c>
      <c r="V97" s="362">
        <v>0.61950410845951209</v>
      </c>
    </row>
    <row r="98" spans="2:22" x14ac:dyDescent="0.2">
      <c r="B98" s="49" t="str">
        <f>'X3'!B102</f>
        <v>SMSM</v>
      </c>
      <c r="C98" s="49"/>
      <c r="D98" s="145">
        <f>'X3'!E102</f>
        <v>3339964000000</v>
      </c>
      <c r="E98" s="44">
        <v>2879876000000</v>
      </c>
      <c r="F98" s="48">
        <f t="shared" si="15"/>
        <v>0.15975965631853595</v>
      </c>
      <c r="H98" s="48"/>
      <c r="I98" s="49"/>
      <c r="J98" s="145">
        <f>'X3 (2)'!K102</f>
        <v>3933353000000</v>
      </c>
      <c r="K98" s="145">
        <f>'X3'!E102</f>
        <v>3339964000000</v>
      </c>
      <c r="L98" s="147">
        <f t="shared" si="12"/>
        <v>0.17766329217919713</v>
      </c>
      <c r="N98" s="48"/>
      <c r="O98" s="49"/>
      <c r="P98" s="145">
        <f>'X3 (3)'!D102</f>
        <v>3935811000000</v>
      </c>
      <c r="Q98" s="145">
        <f t="shared" si="13"/>
        <v>3933353000000</v>
      </c>
      <c r="R98" s="147">
        <f t="shared" si="16"/>
        <v>6.249121296766398E-4</v>
      </c>
      <c r="U98" s="45" t="s">
        <v>622</v>
      </c>
      <c r="V98" s="362">
        <v>-4.3998240177228698E-2</v>
      </c>
    </row>
    <row r="99" spans="2:22" x14ac:dyDescent="0.2">
      <c r="B99" s="49" t="str">
        <f>'X3'!B103</f>
        <v>SRIL</v>
      </c>
      <c r="C99" s="49"/>
      <c r="D99" s="145">
        <f>'X3'!E103</f>
        <v>10303618318185</v>
      </c>
      <c r="E99" s="44">
        <f>679939490*S51</f>
        <v>9519832799490</v>
      </c>
      <c r="F99" s="48">
        <f t="shared" si="15"/>
        <v>8.2331857628527808E-2</v>
      </c>
      <c r="H99" s="48"/>
      <c r="I99" s="49"/>
      <c r="J99" s="145">
        <f>'X3 (2)'!K103</f>
        <v>14992210707000</v>
      </c>
      <c r="K99" s="145">
        <f>'X3'!E103</f>
        <v>10303618318185</v>
      </c>
      <c r="L99" s="147">
        <f t="shared" si="12"/>
        <v>0.45504329100972596</v>
      </c>
      <c r="N99" s="48"/>
      <c r="O99" s="49"/>
      <c r="P99" s="145">
        <f>'X3 (3)'!D103</f>
        <v>16546860382182</v>
      </c>
      <c r="Q99" s="145">
        <f t="shared" si="13"/>
        <v>14992210707000</v>
      </c>
      <c r="R99" s="147">
        <f t="shared" si="16"/>
        <v>0.10369716018306226</v>
      </c>
      <c r="U99" s="361" t="s">
        <v>622</v>
      </c>
      <c r="V99" s="362">
        <v>0.19053960570230599</v>
      </c>
    </row>
    <row r="100" spans="2:22" x14ac:dyDescent="0.2">
      <c r="B100" s="49" t="str">
        <f>'X3'!B104</f>
        <v>VOKS</v>
      </c>
      <c r="C100" s="49"/>
      <c r="D100" s="145">
        <f>'X3'!E104</f>
        <v>2258316807862</v>
      </c>
      <c r="E100" s="44">
        <v>2022350276358</v>
      </c>
      <c r="F100" s="48">
        <f t="shared" si="15"/>
        <v>0.11667935780588229</v>
      </c>
      <c r="H100" s="48"/>
      <c r="I100" s="49"/>
      <c r="J100" s="145">
        <f>'X3 (2)'!K104</f>
        <v>2684419276973</v>
      </c>
      <c r="K100" s="145">
        <f>'X3'!E104</f>
        <v>2258316807862</v>
      </c>
      <c r="L100" s="147">
        <f t="shared" si="12"/>
        <v>0.18868144080918431</v>
      </c>
      <c r="N100" s="48"/>
      <c r="O100" s="49"/>
      <c r="P100" s="145">
        <f>'X3 (3)'!D104</f>
        <v>2669686185127</v>
      </c>
      <c r="Q100" s="145">
        <f t="shared" si="13"/>
        <v>2684419276973</v>
      </c>
      <c r="R100" s="147">
        <f t="shared" si="16"/>
        <v>-5.4883720931304374E-3</v>
      </c>
      <c r="U100" s="360" t="s">
        <v>622</v>
      </c>
      <c r="V100" s="362">
        <v>-8.1049175369488306E-3</v>
      </c>
    </row>
    <row r="101" spans="2:22" x14ac:dyDescent="0.2">
      <c r="B101" s="49" t="str">
        <f>'X3'!B105</f>
        <v>ACST</v>
      </c>
      <c r="C101" s="49"/>
      <c r="D101" s="145">
        <f>'X3'!E105</f>
        <v>3026989000000</v>
      </c>
      <c r="E101" s="44">
        <v>1794002000000</v>
      </c>
      <c r="F101" s="48">
        <f t="shared" si="15"/>
        <v>0.68728295732111777</v>
      </c>
      <c r="H101" s="48"/>
      <c r="I101" s="49"/>
      <c r="J101" s="145">
        <f>'X3 (2)'!K105</f>
        <v>3725296000000</v>
      </c>
      <c r="K101" s="145">
        <f>'X3'!E105</f>
        <v>3026989000000</v>
      </c>
      <c r="L101" s="147">
        <f t="shared" si="12"/>
        <v>0.23069360344553613</v>
      </c>
      <c r="N101" s="48"/>
      <c r="O101" s="49"/>
      <c r="P101" s="145">
        <f>'X3 (3)'!D105</f>
        <v>3947173000000</v>
      </c>
      <c r="Q101" s="145">
        <f t="shared" si="13"/>
        <v>3725296000000</v>
      </c>
      <c r="R101" s="147">
        <f t="shared" si="16"/>
        <v>5.9559562515300798E-2</v>
      </c>
      <c r="U101" s="45" t="s">
        <v>630</v>
      </c>
      <c r="V101" s="362">
        <v>-3.2348079653748939E-2</v>
      </c>
    </row>
    <row r="102" spans="2:22" x14ac:dyDescent="0.2">
      <c r="B102" s="49" t="str">
        <f>'X3'!B106</f>
        <v>APLN</v>
      </c>
      <c r="C102" s="49"/>
      <c r="D102" s="145">
        <f>'X3'!E106</f>
        <v>7043036602000</v>
      </c>
      <c r="E102" s="44">
        <v>6006952123000</v>
      </c>
      <c r="F102" s="48">
        <f t="shared" si="15"/>
        <v>0.17248089510035206</v>
      </c>
      <c r="H102" s="48"/>
      <c r="I102" s="49"/>
      <c r="J102" s="145">
        <f>'X3 (2)'!K106</f>
        <v>5035325429000</v>
      </c>
      <c r="K102" s="145">
        <f>'X3'!E106</f>
        <v>7043036602000</v>
      </c>
      <c r="L102" s="147">
        <f t="shared" si="12"/>
        <v>-0.28506328824556632</v>
      </c>
      <c r="N102" s="48"/>
      <c r="O102" s="49"/>
      <c r="P102" s="145">
        <f>'X3 (3)'!D106</f>
        <v>3792475607000</v>
      </c>
      <c r="Q102" s="145">
        <f t="shared" si="13"/>
        <v>5035325429000</v>
      </c>
      <c r="R102" s="147">
        <f t="shared" si="16"/>
        <v>-0.24682611670777874</v>
      </c>
      <c r="U102" s="361" t="s">
        <v>630</v>
      </c>
      <c r="V102" s="362">
        <v>0.15875812887957791</v>
      </c>
    </row>
    <row r="103" spans="2:22" x14ac:dyDescent="0.2">
      <c r="B103" s="49" t="str">
        <f>'X3'!B107</f>
        <v>ASRI</v>
      </c>
      <c r="C103" s="49"/>
      <c r="D103" s="145">
        <f>'X3'!E107</f>
        <v>3917107098000</v>
      </c>
      <c r="E103" s="44">
        <v>2715688780000</v>
      </c>
      <c r="F103" s="48">
        <f t="shared" si="15"/>
        <v>0.44239911688260536</v>
      </c>
      <c r="H103" s="48"/>
      <c r="I103" s="49"/>
      <c r="J103" s="145">
        <f>'X3 (2)'!K107</f>
        <v>3975258160000</v>
      </c>
      <c r="K103" s="145">
        <f>'X3'!E107</f>
        <v>3917107098000</v>
      </c>
      <c r="L103" s="147">
        <f t="shared" si="12"/>
        <v>1.4845410284975567E-2</v>
      </c>
      <c r="N103" s="48"/>
      <c r="O103" s="49"/>
      <c r="P103" s="145">
        <f>'X3 (3)'!D107</f>
        <v>3475677175000</v>
      </c>
      <c r="Q103" s="145">
        <f t="shared" si="13"/>
        <v>3975258160000</v>
      </c>
      <c r="R103" s="147">
        <f t="shared" si="16"/>
        <v>-0.12567258902249509</v>
      </c>
      <c r="U103" s="360" t="s">
        <v>630</v>
      </c>
      <c r="V103" s="362">
        <v>7.2027335092144998E-2</v>
      </c>
    </row>
    <row r="104" spans="2:22" x14ac:dyDescent="0.2">
      <c r="B104" s="49" t="str">
        <f>'X3'!B108</f>
        <v>BSDE</v>
      </c>
      <c r="C104" s="49"/>
      <c r="D104" s="145">
        <f>'X3'!E108</f>
        <v>10347343192163</v>
      </c>
      <c r="E104" s="44">
        <v>6602955279363</v>
      </c>
      <c r="F104" s="48">
        <f t="shared" si="15"/>
        <v>0.56707758183714796</v>
      </c>
      <c r="H104" s="48"/>
      <c r="I104" s="49"/>
      <c r="J104" s="145">
        <f>'X3 (2)'!K108</f>
        <v>6628782185008</v>
      </c>
      <c r="K104" s="145">
        <f>'X3'!E108</f>
        <v>10347343192163</v>
      </c>
      <c r="L104" s="147">
        <f t="shared" si="12"/>
        <v>-0.35937350661872414</v>
      </c>
      <c r="N104" s="48"/>
      <c r="O104" s="49"/>
      <c r="P104" s="145">
        <f>'X3 (3)'!D108</f>
        <v>7084864038574</v>
      </c>
      <c r="Q104" s="145">
        <f t="shared" si="13"/>
        <v>6628782185008</v>
      </c>
      <c r="R104" s="147">
        <f t="shared" si="16"/>
        <v>6.8803264436339232E-2</v>
      </c>
      <c r="U104" s="45" t="s">
        <v>633</v>
      </c>
      <c r="V104" s="362">
        <v>-0.16150333950563858</v>
      </c>
    </row>
    <row r="105" spans="2:22" x14ac:dyDescent="0.2">
      <c r="B105" s="49" t="str">
        <f>'X3'!B109</f>
        <v>CTRA</v>
      </c>
      <c r="C105" s="49"/>
      <c r="D105" s="145">
        <f>'X3'!E109</f>
        <v>6442797000000</v>
      </c>
      <c r="E105" s="44">
        <v>6739315000000</v>
      </c>
      <c r="F105" s="48">
        <f t="shared" si="15"/>
        <v>-4.3998240177228698E-2</v>
      </c>
      <c r="H105" s="48"/>
      <c r="I105" s="49"/>
      <c r="J105" s="145">
        <f>'X3 (2)'!K109</f>
        <v>7670405000000</v>
      </c>
      <c r="K105" s="145">
        <f>'X3'!E109</f>
        <v>6442797000000</v>
      </c>
      <c r="L105" s="147">
        <f t="shared" si="12"/>
        <v>0.19053960570230599</v>
      </c>
      <c r="N105" s="48"/>
      <c r="O105" s="49"/>
      <c r="P105" s="145">
        <f>'X3 (3)'!D109</f>
        <v>7608237000000</v>
      </c>
      <c r="Q105" s="145">
        <f t="shared" si="13"/>
        <v>7670405000000</v>
      </c>
      <c r="R105" s="147">
        <f t="shared" si="16"/>
        <v>-8.1049175369488306E-3</v>
      </c>
      <c r="U105" s="361" t="s">
        <v>633</v>
      </c>
      <c r="V105" s="362">
        <v>-0.22460584560225277</v>
      </c>
    </row>
    <row r="106" spans="2:22" x14ac:dyDescent="0.2">
      <c r="B106" s="49" t="str">
        <f>'X3'!B110</f>
        <v>DILD</v>
      </c>
      <c r="C106" s="49"/>
      <c r="D106" s="145">
        <f>'X3'!E110</f>
        <v>2202820510610</v>
      </c>
      <c r="E106" s="44">
        <v>2276459607316</v>
      </c>
      <c r="F106" s="48">
        <f t="shared" si="15"/>
        <v>-3.2348079653748939E-2</v>
      </c>
      <c r="H106" s="48"/>
      <c r="I106" s="49"/>
      <c r="J106" s="145">
        <f>'X3 (2)'!K110</f>
        <v>2552536173132</v>
      </c>
      <c r="K106" s="145">
        <f>'X3'!E110</f>
        <v>2202820510610</v>
      </c>
      <c r="L106" s="147">
        <f t="shared" si="12"/>
        <v>0.15875812887957791</v>
      </c>
      <c r="N106" s="48"/>
      <c r="O106" s="49"/>
      <c r="P106" s="145">
        <f>'X3 (3)'!D110</f>
        <v>2736388551409</v>
      </c>
      <c r="Q106" s="145">
        <f t="shared" si="13"/>
        <v>2552536173132</v>
      </c>
      <c r="R106" s="147">
        <f t="shared" si="16"/>
        <v>7.2027335092144998E-2</v>
      </c>
      <c r="U106" s="360" t="s">
        <v>633</v>
      </c>
      <c r="V106" s="362">
        <v>1.5575947197380318</v>
      </c>
    </row>
    <row r="107" spans="2:22" x14ac:dyDescent="0.2">
      <c r="B107" s="49" t="str">
        <f>'X3'!B111</f>
        <v>DMAS</v>
      </c>
      <c r="C107" s="49"/>
      <c r="D107" s="145">
        <f>'X3'!E111</f>
        <v>1336390680684</v>
      </c>
      <c r="E107" s="44">
        <v>1593793682966</v>
      </c>
      <c r="F107" s="48">
        <f t="shared" si="15"/>
        <v>-0.16150333950563858</v>
      </c>
      <c r="H107" s="48"/>
      <c r="I107" s="49"/>
      <c r="J107" s="145">
        <f>'X3 (2)'!K111</f>
        <v>1036229521794</v>
      </c>
      <c r="K107" s="145">
        <f>'X3'!E111</f>
        <v>1336390680684</v>
      </c>
      <c r="L107" s="147">
        <f t="shared" si="12"/>
        <v>-0.22460584560225277</v>
      </c>
      <c r="N107" s="48"/>
      <c r="O107" s="49"/>
      <c r="P107" s="145">
        <f>'X3 (3)'!D111</f>
        <v>2650255153377</v>
      </c>
      <c r="Q107" s="145">
        <f t="shared" si="13"/>
        <v>1036229521794</v>
      </c>
      <c r="R107" s="147">
        <f t="shared" si="16"/>
        <v>1.5575947197380318</v>
      </c>
      <c r="U107" s="45" t="s">
        <v>74</v>
      </c>
      <c r="V107" s="362">
        <v>0.33028265384623318</v>
      </c>
    </row>
    <row r="108" spans="2:22" x14ac:dyDescent="0.2">
      <c r="B108" s="49" t="str">
        <f>'X3'!B112</f>
        <v>ELTY</v>
      </c>
      <c r="C108" s="49"/>
      <c r="D108" s="145">
        <f>'X3'!E112</f>
        <v>1239228442094</v>
      </c>
      <c r="E108" s="44">
        <v>1682846241196</v>
      </c>
      <c r="F108" s="48">
        <f t="shared" si="15"/>
        <v>-0.26361160529242439</v>
      </c>
      <c r="H108" s="48"/>
      <c r="I108" s="49"/>
      <c r="J108" s="145">
        <f>'X3 (2)'!K112</f>
        <v>1096389373607</v>
      </c>
      <c r="K108" s="145">
        <f>'X3'!E112</f>
        <v>1239228442094</v>
      </c>
      <c r="L108" s="147">
        <f t="shared" si="12"/>
        <v>-0.11526451752966232</v>
      </c>
      <c r="N108" s="48"/>
      <c r="O108" s="49"/>
      <c r="P108" s="145">
        <f>'X3 (3)'!D112</f>
        <v>977548208323</v>
      </c>
      <c r="Q108" s="145">
        <f t="shared" si="13"/>
        <v>1096389373607</v>
      </c>
      <c r="R108" s="147">
        <f t="shared" si="16"/>
        <v>-0.10839321152213076</v>
      </c>
      <c r="U108" s="361" t="s">
        <v>74</v>
      </c>
      <c r="V108" s="362">
        <v>-7.715365633244449E-2</v>
      </c>
    </row>
    <row r="109" spans="2:22" x14ac:dyDescent="0.2">
      <c r="B109" s="49" t="str">
        <f>'X3'!B113</f>
        <v>JKON</v>
      </c>
      <c r="C109" s="49"/>
      <c r="D109" s="145">
        <f>'X3'!E113</f>
        <v>4495503187000</v>
      </c>
      <c r="E109" s="44">
        <v>4650940587000</v>
      </c>
      <c r="F109" s="48">
        <f t="shared" si="15"/>
        <v>-3.342063763069094E-2</v>
      </c>
      <c r="H109" s="48"/>
      <c r="I109" s="49"/>
      <c r="J109" s="145">
        <f>'X3 (2)'!K113</f>
        <v>5157266424000</v>
      </c>
      <c r="K109" s="145">
        <f>'X3'!E113</f>
        <v>4495503187000</v>
      </c>
      <c r="L109" s="147">
        <f t="shared" si="12"/>
        <v>0.14720559845529033</v>
      </c>
      <c r="N109" s="48"/>
      <c r="O109" s="49"/>
      <c r="P109" s="145">
        <f>'X3 (3)'!D113</f>
        <v>5470824200000</v>
      </c>
      <c r="Q109" s="145">
        <f t="shared" si="13"/>
        <v>5157266424000</v>
      </c>
      <c r="R109" s="147">
        <f t="shared" si="16"/>
        <v>6.0799220017181722E-2</v>
      </c>
      <c r="U109" s="360" t="s">
        <v>74</v>
      </c>
      <c r="V109" s="362">
        <v>0.20472887907001652</v>
      </c>
    </row>
    <row r="110" spans="2:22" x14ac:dyDescent="0.2">
      <c r="B110" s="49" t="str">
        <f>'X3'!B114</f>
        <v>KIJA</v>
      </c>
      <c r="C110" s="49"/>
      <c r="D110" s="145">
        <f>'X3'!E114</f>
        <v>2994759224061</v>
      </c>
      <c r="E110" s="44">
        <v>2931015007454</v>
      </c>
      <c r="F110" s="48">
        <f t="shared" si="15"/>
        <v>2.1748171348454078E-2</v>
      </c>
      <c r="H110" s="48"/>
      <c r="I110" s="49"/>
      <c r="J110" s="145">
        <f>'X3 (2)'!K114</f>
        <v>2711870473438</v>
      </c>
      <c r="K110" s="145">
        <f>'X3'!E114</f>
        <v>2994759224061</v>
      </c>
      <c r="L110" s="147">
        <f t="shared" si="12"/>
        <v>-9.4461266986062664E-2</v>
      </c>
      <c r="N110" s="48"/>
      <c r="O110" s="49"/>
      <c r="P110" s="145">
        <f>'X3 (3)'!D114</f>
        <v>2253944326651</v>
      </c>
      <c r="Q110" s="145">
        <f t="shared" si="13"/>
        <v>2711870473438</v>
      </c>
      <c r="R110" s="147">
        <f t="shared" si="16"/>
        <v>-0.16885988887458173</v>
      </c>
      <c r="U110" s="45" t="s">
        <v>354</v>
      </c>
      <c r="V110" s="362">
        <v>0.85911545239877751</v>
      </c>
    </row>
    <row r="111" spans="2:22" x14ac:dyDescent="0.2">
      <c r="B111" s="49" t="str">
        <f>'X3'!B115</f>
        <v>LPCK</v>
      </c>
      <c r="C111" s="49"/>
      <c r="D111" s="145">
        <f>'X3'!E115</f>
        <v>1457524000000</v>
      </c>
      <c r="E111" s="44">
        <v>1484560000000</v>
      </c>
      <c r="F111" s="48">
        <f t="shared" si="15"/>
        <v>-1.8211456593199331E-2</v>
      </c>
      <c r="H111" s="48"/>
      <c r="I111" s="49"/>
      <c r="J111" s="145">
        <f>'X3 (2)'!K115</f>
        <v>2124392000000</v>
      </c>
      <c r="K111" s="145">
        <f>'X3'!E115</f>
        <v>1457524000000</v>
      </c>
      <c r="L111" s="147">
        <f t="shared" si="12"/>
        <v>0.45753483304563081</v>
      </c>
      <c r="N111" s="48"/>
      <c r="O111" s="49"/>
      <c r="P111" s="145">
        <f>'X3 (3)'!D115</f>
        <v>1658434000000</v>
      </c>
      <c r="Q111" s="145">
        <f t="shared" si="13"/>
        <v>2124392000000</v>
      </c>
      <c r="R111" s="147">
        <f t="shared" si="16"/>
        <v>-0.21933710915876167</v>
      </c>
      <c r="U111" s="361" t="s">
        <v>354</v>
      </c>
      <c r="V111" s="362">
        <v>0.43008451691490951</v>
      </c>
    </row>
    <row r="112" spans="2:22" x14ac:dyDescent="0.2">
      <c r="B112" s="49" t="str">
        <f>'X3'!B116</f>
        <v>LPKR</v>
      </c>
      <c r="C112" s="49"/>
      <c r="D112" s="145">
        <f>'X3'!E116</f>
        <v>10902928000000</v>
      </c>
      <c r="E112" s="44">
        <v>10749254000000</v>
      </c>
      <c r="F112" s="185">
        <f t="shared" si="15"/>
        <v>1.4296247907064063E-2</v>
      </c>
      <c r="H112" s="48"/>
      <c r="I112" s="49"/>
      <c r="J112" s="145">
        <f>'X3 (2)'!K116</f>
        <v>11275019000000</v>
      </c>
      <c r="K112" s="145">
        <f>'X3'!E116</f>
        <v>10902928000000</v>
      </c>
      <c r="L112" s="147">
        <f t="shared" si="12"/>
        <v>3.4127621497638067E-2</v>
      </c>
      <c r="N112" s="48"/>
      <c r="O112" s="49"/>
      <c r="P112" s="145">
        <f>'X3 (3)'!D116</f>
        <v>12177173000000</v>
      </c>
      <c r="Q112" s="145">
        <f t="shared" si="13"/>
        <v>11275019000000</v>
      </c>
      <c r="R112" s="147">
        <f t="shared" si="16"/>
        <v>8.001352370226604E-2</v>
      </c>
      <c r="U112" s="360" t="s">
        <v>354</v>
      </c>
      <c r="V112" s="362">
        <v>-9.0326410599003454E-2</v>
      </c>
    </row>
    <row r="113" spans="2:22" x14ac:dyDescent="0.2">
      <c r="B113" s="49" t="str">
        <f>'X3'!B117</f>
        <v>MDLN</v>
      </c>
      <c r="C113" s="49"/>
      <c r="D113" s="145">
        <f>'X3'!E117</f>
        <v>3195904064863</v>
      </c>
      <c r="E113" s="44">
        <v>2465211935368</v>
      </c>
      <c r="F113" s="185">
        <f t="shared" si="15"/>
        <v>0.29640134343497093</v>
      </c>
      <c r="H113" s="48"/>
      <c r="I113" s="49"/>
      <c r="J113" s="145">
        <f>'X3 (2)'!K117</f>
        <v>2124202844845</v>
      </c>
      <c r="K113" s="145">
        <f>'X3'!E117</f>
        <v>3195904064863</v>
      </c>
      <c r="L113" s="147">
        <f t="shared" si="12"/>
        <v>-0.33533585435204266</v>
      </c>
      <c r="N113" s="48"/>
      <c r="O113" s="49"/>
      <c r="P113" s="145">
        <f>'X3 (3)'!D117</f>
        <v>2373275556528</v>
      </c>
      <c r="Q113" s="145">
        <f t="shared" si="13"/>
        <v>2124202844845</v>
      </c>
      <c r="R113" s="147">
        <f t="shared" si="16"/>
        <v>0.11725467381208336</v>
      </c>
      <c r="U113" s="45" t="s">
        <v>149</v>
      </c>
      <c r="V113" s="362">
        <v>8.5637548448807221E-2</v>
      </c>
    </row>
    <row r="114" spans="2:22" x14ac:dyDescent="0.2">
      <c r="B114" s="49" t="str">
        <f>'X3'!B118</f>
        <v>PBSA</v>
      </c>
      <c r="C114" s="49"/>
      <c r="D114" s="145">
        <f>'X3'!E118</f>
        <v>630066809911</v>
      </c>
      <c r="E114" s="44">
        <v>1269538220084</v>
      </c>
      <c r="F114" s="185">
        <f t="shared" si="15"/>
        <v>-0.50370394530594664</v>
      </c>
      <c r="H114" s="48"/>
      <c r="I114" s="49"/>
      <c r="J114" s="145">
        <f>'X3 (2)'!K118</f>
        <v>358691115030</v>
      </c>
      <c r="K114" s="145">
        <f>'X3'!E118</f>
        <v>630066809911</v>
      </c>
      <c r="L114" s="147">
        <f t="shared" si="12"/>
        <v>-0.43070939559462451</v>
      </c>
      <c r="N114" s="48"/>
      <c r="O114" s="49"/>
      <c r="P114" s="145">
        <f>'X3 (3)'!D118</f>
        <v>607764419249</v>
      </c>
      <c r="Q114" s="145">
        <f t="shared" si="13"/>
        <v>358691115030</v>
      </c>
      <c r="R114" s="147">
        <f t="shared" si="16"/>
        <v>0.69439496486599106</v>
      </c>
      <c r="U114" s="361" t="s">
        <v>149</v>
      </c>
      <c r="V114" s="362">
        <v>7.8704153759770204E-2</v>
      </c>
    </row>
    <row r="115" spans="2:22" x14ac:dyDescent="0.2">
      <c r="B115" s="49" t="str">
        <f>'X3'!B119</f>
        <v>PWON</v>
      </c>
      <c r="C115" s="49"/>
      <c r="D115" s="145">
        <f>'X3'!E119</f>
        <v>5717537579000</v>
      </c>
      <c r="E115" s="44">
        <v>4841104813000</v>
      </c>
      <c r="F115" s="48">
        <f t="shared" si="15"/>
        <v>0.18103982455543666</v>
      </c>
      <c r="H115" s="48"/>
      <c r="I115" s="49"/>
      <c r="J115" s="145">
        <f>'X3 (2)'!K119</f>
        <v>7080668385000</v>
      </c>
      <c r="K115" s="145">
        <f>'X3'!E119</f>
        <v>5717537579000</v>
      </c>
      <c r="L115" s="147">
        <f t="shared" si="12"/>
        <v>0.23841221630211168</v>
      </c>
      <c r="N115" s="48"/>
      <c r="O115" s="49"/>
      <c r="P115" s="145">
        <f>'X3 (3)'!D119</f>
        <v>7202001193000</v>
      </c>
      <c r="Q115" s="145">
        <f t="shared" si="13"/>
        <v>7080668385000</v>
      </c>
      <c r="R115" s="147">
        <f t="shared" si="16"/>
        <v>1.7135784561954175E-2</v>
      </c>
      <c r="U115" s="360" t="s">
        <v>149</v>
      </c>
      <c r="V115" s="362">
        <v>6.6697552657697654E-2</v>
      </c>
    </row>
    <row r="116" spans="2:22" x14ac:dyDescent="0.2">
      <c r="B116" s="49" t="str">
        <f>'X3'!B120</f>
        <v>ABMM</v>
      </c>
      <c r="C116" s="49"/>
      <c r="D116" s="145">
        <f>'X3'!E120</f>
        <v>9372555982017</v>
      </c>
      <c r="E116" s="44">
        <f>590695975*S51</f>
        <v>8270334345975</v>
      </c>
      <c r="F116" s="48">
        <f t="shared" si="15"/>
        <v>0.13327413257221316</v>
      </c>
      <c r="H116" s="48"/>
      <c r="I116" s="49"/>
      <c r="J116" s="145">
        <f>'X3 (2)'!K120</f>
        <v>11209328399500</v>
      </c>
      <c r="K116" s="145">
        <f>'X3'!E120</f>
        <v>9372555982017</v>
      </c>
      <c r="L116" s="147">
        <f t="shared" si="12"/>
        <v>0.19597348055399094</v>
      </c>
      <c r="N116" s="48"/>
      <c r="O116" s="49"/>
      <c r="P116" s="145">
        <f>'X3 (3)'!D120</f>
        <v>8294121722952</v>
      </c>
      <c r="Q116" s="145">
        <f t="shared" si="13"/>
        <v>11209328399500</v>
      </c>
      <c r="R116" s="147">
        <f t="shared" si="16"/>
        <v>-0.26006970022200748</v>
      </c>
      <c r="U116" s="45" t="s">
        <v>433</v>
      </c>
      <c r="V116" s="362">
        <v>0.13181124227140592</v>
      </c>
    </row>
    <row r="117" spans="2:22" x14ac:dyDescent="0.2">
      <c r="B117" s="49" t="str">
        <f>'X3'!B121</f>
        <v>AKRA</v>
      </c>
      <c r="C117" s="49"/>
      <c r="D117" s="145">
        <f>'X3'!E121</f>
        <v>18287935534000</v>
      </c>
      <c r="E117" s="44">
        <v>15212590884000</v>
      </c>
      <c r="F117" s="48">
        <f t="shared" si="15"/>
        <v>0.2021578489456734</v>
      </c>
      <c r="H117" s="48"/>
      <c r="I117" s="49"/>
      <c r="J117" s="145">
        <f>'X3 (2)'!K121</f>
        <v>23548144117000</v>
      </c>
      <c r="K117" s="145">
        <f>'X3'!E121</f>
        <v>18287935534000</v>
      </c>
      <c r="L117" s="147">
        <f t="shared" si="12"/>
        <v>0.28763271683785674</v>
      </c>
      <c r="N117" s="48"/>
      <c r="O117" s="49"/>
      <c r="P117" s="145">
        <f>'X3 (3)'!D121</f>
        <v>21702637573000</v>
      </c>
      <c r="Q117" s="145">
        <f t="shared" si="13"/>
        <v>23548144117000</v>
      </c>
      <c r="R117" s="147">
        <f t="shared" si="16"/>
        <v>-7.8371634504635218E-2</v>
      </c>
      <c r="U117" s="361" t="s">
        <v>433</v>
      </c>
      <c r="V117" s="362">
        <v>0.14914272274506962</v>
      </c>
    </row>
    <row r="118" spans="2:22" x14ac:dyDescent="0.2">
      <c r="B118" s="49" t="str">
        <f>'X3'!B122</f>
        <v>AMRT</v>
      </c>
      <c r="C118" s="49"/>
      <c r="D118" s="145">
        <f>'X3'!E122</f>
        <v>61464903000000</v>
      </c>
      <c r="E118" s="44">
        <v>56107056000000</v>
      </c>
      <c r="F118" s="48">
        <f t="shared" si="15"/>
        <v>9.5493283411626523E-2</v>
      </c>
      <c r="H118" s="48"/>
      <c r="I118" s="49"/>
      <c r="J118" s="145">
        <f>'X3 (2)'!K122</f>
        <v>66817305000000</v>
      </c>
      <c r="K118" s="145">
        <f>'X3'!E122</f>
        <v>61464903000000</v>
      </c>
      <c r="L118" s="147">
        <f t="shared" si="12"/>
        <v>8.7080622253646114E-2</v>
      </c>
      <c r="N118" s="48"/>
      <c r="O118" s="49"/>
      <c r="P118" s="145">
        <f>'X3 (3)'!D122</f>
        <v>72944988000000</v>
      </c>
      <c r="Q118" s="145">
        <f t="shared" si="13"/>
        <v>66817305000000</v>
      </c>
      <c r="R118" s="147">
        <f t="shared" si="16"/>
        <v>9.1708023842027156E-2</v>
      </c>
      <c r="U118" s="360" t="s">
        <v>433</v>
      </c>
      <c r="V118" s="362">
        <v>2.5312384058544288E-2</v>
      </c>
    </row>
    <row r="119" spans="2:22" x14ac:dyDescent="0.2">
      <c r="B119" s="49" t="str">
        <f>'X3'!B123</f>
        <v>ATIC</v>
      </c>
      <c r="C119" s="49"/>
      <c r="D119" s="145">
        <f>'X3'!E123</f>
        <v>4593876093254</v>
      </c>
      <c r="E119" s="44">
        <v>4308053147462</v>
      </c>
      <c r="F119" s="48">
        <f t="shared" si="15"/>
        <v>6.6346197692659994E-2</v>
      </c>
      <c r="H119" s="48"/>
      <c r="I119" s="49"/>
      <c r="J119" s="145">
        <f>'X3 (2)'!K123</f>
        <v>5433508833578</v>
      </c>
      <c r="K119" s="145">
        <f>'X3'!E123</f>
        <v>4593876093254</v>
      </c>
      <c r="L119" s="147">
        <f t="shared" si="12"/>
        <v>0.18277217828251421</v>
      </c>
      <c r="N119" s="48"/>
      <c r="O119" s="49"/>
      <c r="P119" s="145">
        <f>'X3 (3)'!D123</f>
        <v>5552209122095</v>
      </c>
      <c r="Q119" s="145">
        <f t="shared" si="13"/>
        <v>5433508833578</v>
      </c>
      <c r="R119" s="147">
        <f t="shared" si="16"/>
        <v>2.184597322883804E-2</v>
      </c>
      <c r="U119" s="45" t="s">
        <v>635</v>
      </c>
      <c r="V119" s="362">
        <v>-0.26361160529242439</v>
      </c>
    </row>
    <row r="120" spans="2:22" x14ac:dyDescent="0.2">
      <c r="B120" s="49" t="str">
        <f>'X3'!B124</f>
        <v>BHIT</v>
      </c>
      <c r="C120" s="49"/>
      <c r="D120" s="145">
        <f>'X3'!E124</f>
        <v>13580269000000</v>
      </c>
      <c r="E120" s="44">
        <v>12894525000000</v>
      </c>
      <c r="F120" s="48">
        <f t="shared" si="15"/>
        <v>5.3181020626971526E-2</v>
      </c>
      <c r="H120" s="48"/>
      <c r="I120" s="49"/>
      <c r="J120" s="145">
        <f>'X3 (2)'!K124</f>
        <v>14725851000000</v>
      </c>
      <c r="K120" s="145">
        <f>'X3'!E124</f>
        <v>13580269000000</v>
      </c>
      <c r="L120" s="147">
        <f t="shared" si="12"/>
        <v>8.4356355533163591E-2</v>
      </c>
      <c r="N120" s="48"/>
      <c r="O120" s="49"/>
      <c r="P120" s="145">
        <f>'X3 (3)'!D124</f>
        <v>15967376000000</v>
      </c>
      <c r="Q120" s="145">
        <f t="shared" si="13"/>
        <v>14725851000000</v>
      </c>
      <c r="R120" s="147">
        <f t="shared" si="16"/>
        <v>8.4309219209130939E-2</v>
      </c>
      <c r="U120" s="361" t="s">
        <v>635</v>
      </c>
      <c r="V120" s="362">
        <v>-0.11526451752966232</v>
      </c>
    </row>
    <row r="121" spans="2:22" x14ac:dyDescent="0.2">
      <c r="B121" s="49" t="str">
        <f>'X3'!B125</f>
        <v>BMSR</v>
      </c>
      <c r="C121" s="49"/>
      <c r="D121" s="145">
        <f>'X3'!E125</f>
        <v>2627918564007</v>
      </c>
      <c r="E121" s="44">
        <v>2253792419520</v>
      </c>
      <c r="F121" s="185">
        <f t="shared" si="15"/>
        <v>0.16599849269467296</v>
      </c>
      <c r="H121" s="48"/>
      <c r="I121" s="49"/>
      <c r="J121" s="145">
        <f>'X3 (2)'!K125</f>
        <v>3233006982684</v>
      </c>
      <c r="K121" s="145">
        <f>'X3'!E125</f>
        <v>2627918564007</v>
      </c>
      <c r="L121" s="147">
        <f t="shared" si="12"/>
        <v>0.23025386972204068</v>
      </c>
      <c r="N121" s="48"/>
      <c r="O121" s="49"/>
      <c r="P121" s="145">
        <f>'X3 (3)'!D125</f>
        <v>2909964456328</v>
      </c>
      <c r="Q121" s="145">
        <f>J121</f>
        <v>3233006982684</v>
      </c>
      <c r="R121" s="147">
        <f>(P121-Q121)/Q121</f>
        <v>-9.9920144956759216E-2</v>
      </c>
      <c r="U121" s="360" t="s">
        <v>635</v>
      </c>
      <c r="V121" s="362">
        <v>-0.10839321152213076</v>
      </c>
    </row>
    <row r="122" spans="2:22" x14ac:dyDescent="0.2">
      <c r="B122" s="49" t="str">
        <f>'X3'!B126</f>
        <v>BMTR</v>
      </c>
      <c r="C122" s="49"/>
      <c r="D122" s="145">
        <f>'X3'!E126</f>
        <v>10829450000000</v>
      </c>
      <c r="E122" s="44">
        <v>10459641000000</v>
      </c>
      <c r="F122" s="185">
        <f t="shared" si="15"/>
        <v>3.5355802364536219E-2</v>
      </c>
      <c r="H122" s="48"/>
      <c r="I122" s="49"/>
      <c r="J122" s="145">
        <f>'X3 (2)'!K126</f>
        <v>11695216000000</v>
      </c>
      <c r="K122" s="145">
        <f>'X3'!E126</f>
        <v>10829450000000</v>
      </c>
      <c r="L122" s="147">
        <f t="shared" si="12"/>
        <v>7.994551893217107E-2</v>
      </c>
      <c r="N122" s="48"/>
      <c r="O122" s="49"/>
      <c r="P122" s="145">
        <f>'X3 (3)'!D126</f>
        <v>12936503000000</v>
      </c>
      <c r="Q122" s="145">
        <f t="shared" ref="Q122:Q141" si="17">J122</f>
        <v>11695216000000</v>
      </c>
      <c r="R122" s="147">
        <f t="shared" ref="R122:R141" si="18">(P122-Q122)/Q122</f>
        <v>0.10613630393829408</v>
      </c>
      <c r="U122" s="45" t="s">
        <v>757</v>
      </c>
      <c r="V122" s="362">
        <v>3.0417448331486529E-2</v>
      </c>
    </row>
    <row r="123" spans="2:22" x14ac:dyDescent="0.2">
      <c r="B123" s="49" t="str">
        <f>'X3'!B127</f>
        <v>EMTK</v>
      </c>
      <c r="C123" s="49"/>
      <c r="D123" s="145">
        <f>'X3'!E127</f>
        <v>7592963086000</v>
      </c>
      <c r="E123" s="44">
        <v>7368822314000</v>
      </c>
      <c r="F123" s="185">
        <f t="shared" si="15"/>
        <v>3.0417448331486529E-2</v>
      </c>
      <c r="H123" s="48"/>
      <c r="I123" s="49"/>
      <c r="J123" s="145">
        <f>'X3 (2)'!K127</f>
        <v>8959710884000</v>
      </c>
      <c r="K123" s="145">
        <f>'X3'!E127</f>
        <v>7592963086000</v>
      </c>
      <c r="L123" s="147">
        <f t="shared" si="12"/>
        <v>0.18000190209274514</v>
      </c>
      <c r="N123" s="48"/>
      <c r="O123" s="49"/>
      <c r="P123" s="145">
        <f>'X3 (3)'!D127</f>
        <v>11100064611000</v>
      </c>
      <c r="Q123" s="145">
        <f t="shared" si="17"/>
        <v>8959710884000</v>
      </c>
      <c r="R123" s="147">
        <f t="shared" si="18"/>
        <v>0.23888647242202687</v>
      </c>
      <c r="U123" s="361" t="s">
        <v>757</v>
      </c>
      <c r="V123" s="362">
        <v>0.18000190209274514</v>
      </c>
    </row>
    <row r="124" spans="2:22" x14ac:dyDescent="0.2">
      <c r="B124" s="49" t="str">
        <f>'X3'!B128</f>
        <v>ERAA</v>
      </c>
      <c r="C124" s="49"/>
      <c r="D124" s="145">
        <f>'X3'!E128</f>
        <v>24229915013932</v>
      </c>
      <c r="E124" s="44">
        <v>20547128076480</v>
      </c>
      <c r="F124" s="185">
        <f t="shared" si="15"/>
        <v>0.17923609196107718</v>
      </c>
      <c r="H124" s="48"/>
      <c r="I124" s="49"/>
      <c r="J124" s="145">
        <f>'X3 (2)'!K128</f>
        <v>34744177481000</v>
      </c>
      <c r="K124" s="145">
        <f>'X3'!E128</f>
        <v>24229915013932</v>
      </c>
      <c r="L124" s="147">
        <f t="shared" si="12"/>
        <v>0.43393724084555751</v>
      </c>
      <c r="N124" s="48"/>
      <c r="O124" s="49"/>
      <c r="P124" s="145">
        <f>'X3 (3)'!D128</f>
        <v>32944902671000</v>
      </c>
      <c r="Q124" s="145">
        <f t="shared" si="17"/>
        <v>34744177481000</v>
      </c>
      <c r="R124" s="147">
        <f t="shared" si="18"/>
        <v>-5.1786369413520897E-2</v>
      </c>
      <c r="U124" s="360" t="s">
        <v>757</v>
      </c>
      <c r="V124" s="362">
        <v>0.23888647242202687</v>
      </c>
    </row>
    <row r="125" spans="2:22" x14ac:dyDescent="0.2">
      <c r="B125" s="49" t="str">
        <f>'X3'!B129</f>
        <v>HERO</v>
      </c>
      <c r="C125" s="49"/>
      <c r="D125" s="145">
        <f>'X3'!E129</f>
        <v>13033638000000</v>
      </c>
      <c r="E125" s="44">
        <v>13677931000000</v>
      </c>
      <c r="F125" s="185">
        <f t="shared" si="15"/>
        <v>-4.710456574170465E-2</v>
      </c>
      <c r="H125" s="48"/>
      <c r="I125" s="49"/>
      <c r="J125" s="145">
        <f>'X3 (2)'!K129</f>
        <v>12970389000000</v>
      </c>
      <c r="K125" s="145">
        <f>'X3'!E129</f>
        <v>13033638000000</v>
      </c>
      <c r="L125" s="147">
        <f t="shared" si="12"/>
        <v>-4.8527510124187889E-3</v>
      </c>
      <c r="N125" s="48"/>
      <c r="O125" s="49"/>
      <c r="P125" s="145">
        <f>'X3 (3)'!D129</f>
        <v>12267782000000</v>
      </c>
      <c r="Q125" s="145">
        <f t="shared" si="17"/>
        <v>12970389000000</v>
      </c>
      <c r="R125" s="147">
        <f t="shared" si="18"/>
        <v>-5.4170079247430433E-2</v>
      </c>
      <c r="U125" s="45" t="s">
        <v>760</v>
      </c>
      <c r="V125" s="362">
        <v>0.17923609196107718</v>
      </c>
    </row>
    <row r="126" spans="2:22" x14ac:dyDescent="0.2">
      <c r="B126" s="49" t="str">
        <f>'X3'!B130</f>
        <v>HEXA</v>
      </c>
      <c r="C126" s="49"/>
      <c r="D126" s="145">
        <f>'X3'!E130</f>
        <v>4657262631660</v>
      </c>
      <c r="E126" s="44">
        <f>299258039*S51</f>
        <v>4189911804039</v>
      </c>
      <c r="F126" s="185">
        <f t="shared" si="15"/>
        <v>0.11154192486115869</v>
      </c>
      <c r="H126" s="48"/>
      <c r="I126" s="49"/>
      <c r="J126" s="145">
        <f>'X3 (2)'!K130</f>
        <v>6689330109500</v>
      </c>
      <c r="K126" s="145">
        <f>'X3'!E130</f>
        <v>4657262631660</v>
      </c>
      <c r="L126" s="147">
        <f t="shared" si="12"/>
        <v>0.43632228597675304</v>
      </c>
      <c r="N126" s="48"/>
      <c r="O126" s="49"/>
      <c r="P126" s="145">
        <f>'X3 (3)'!D130</f>
        <v>5942462225271</v>
      </c>
      <c r="Q126" s="145">
        <f t="shared" si="17"/>
        <v>6689330109500</v>
      </c>
      <c r="R126" s="147">
        <f t="shared" si="18"/>
        <v>-0.11165062450249227</v>
      </c>
      <c r="U126" s="361" t="s">
        <v>760</v>
      </c>
      <c r="V126" s="362">
        <v>0.43393724084555751</v>
      </c>
    </row>
    <row r="127" spans="2:22" x14ac:dyDescent="0.2">
      <c r="B127" s="49" t="str">
        <f>'X3'!B131</f>
        <v>KREN</v>
      </c>
      <c r="C127" s="49"/>
      <c r="D127" s="145">
        <f>'X3'!E131</f>
        <v>1569702187476</v>
      </c>
      <c r="E127" s="44">
        <v>277394654140</v>
      </c>
      <c r="F127" s="185">
        <f t="shared" si="15"/>
        <v>4.6587326541764478</v>
      </c>
      <c r="H127" s="48"/>
      <c r="I127" s="49"/>
      <c r="J127" s="145">
        <f>'X3 (2)'!K131</f>
        <v>7213057131051</v>
      </c>
      <c r="K127" s="145">
        <f>'X3'!E131</f>
        <v>1569702187476</v>
      </c>
      <c r="L127" s="147">
        <f t="shared" si="12"/>
        <v>3.5951755617090799</v>
      </c>
      <c r="N127" s="48"/>
      <c r="O127" s="49"/>
      <c r="P127" s="145">
        <f>'X3 (3)'!D131</f>
        <v>11616266890062</v>
      </c>
      <c r="Q127" s="145">
        <f t="shared" si="17"/>
        <v>7213057131051</v>
      </c>
      <c r="R127" s="147">
        <f t="shared" si="18"/>
        <v>0.61044986598760198</v>
      </c>
      <c r="U127" s="360" t="s">
        <v>760</v>
      </c>
      <c r="V127" s="362">
        <v>-5.1786369413520897E-2</v>
      </c>
    </row>
    <row r="128" spans="2:22" x14ac:dyDescent="0.2">
      <c r="B128" s="49" t="str">
        <f>'X3'!B132</f>
        <v>LINK</v>
      </c>
      <c r="C128" s="49"/>
      <c r="D128" s="145">
        <f>'X3'!E132</f>
        <v>3399060000000</v>
      </c>
      <c r="E128" s="44">
        <v>2954161000000</v>
      </c>
      <c r="F128" s="185">
        <f t="shared" si="15"/>
        <v>0.15060079663904574</v>
      </c>
      <c r="H128" s="48"/>
      <c r="I128" s="49"/>
      <c r="J128" s="145">
        <f>'X3 (2)'!K132</f>
        <v>3728364000000</v>
      </c>
      <c r="K128" s="145">
        <f>'X3'!E132</f>
        <v>3399060000000</v>
      </c>
      <c r="L128" s="147">
        <f t="shared" si="12"/>
        <v>9.688090236712503E-2</v>
      </c>
      <c r="N128" s="48"/>
      <c r="O128" s="49"/>
      <c r="P128" s="145">
        <f>'X3 (3)'!D132</f>
        <v>3755262000000</v>
      </c>
      <c r="Q128" s="145">
        <f t="shared" si="17"/>
        <v>3728364000000</v>
      </c>
      <c r="R128" s="147">
        <f t="shared" si="18"/>
        <v>7.2144243426875698E-3</v>
      </c>
      <c r="U128" s="45" t="s">
        <v>256</v>
      </c>
      <c r="V128" s="362">
        <v>7.1890091687879326E-2</v>
      </c>
    </row>
    <row r="129" spans="2:22" x14ac:dyDescent="0.2">
      <c r="B129" s="49" t="str">
        <f>'X3'!B133</f>
        <v>LTLS</v>
      </c>
      <c r="C129" s="49"/>
      <c r="D129" s="145">
        <f>'X3'!E133</f>
        <v>6596941000000</v>
      </c>
      <c r="E129" s="44">
        <v>6438172000000</v>
      </c>
      <c r="F129" s="185">
        <f t="shared" si="15"/>
        <v>2.4660571354726154E-2</v>
      </c>
      <c r="H129" s="48"/>
      <c r="I129" s="49"/>
      <c r="J129" s="145">
        <f>'X3 (2)'!K133</f>
        <v>7076493000000</v>
      </c>
      <c r="K129" s="145">
        <f>'X3'!E133</f>
        <v>6596941000000</v>
      </c>
      <c r="L129" s="147">
        <f t="shared" si="12"/>
        <v>7.2693086083383193E-2</v>
      </c>
      <c r="N129" s="48"/>
      <c r="O129" s="49"/>
      <c r="P129" s="145">
        <f>'X3 (3)'!D133</f>
        <v>6534734000000</v>
      </c>
      <c r="Q129" s="145">
        <f t="shared" si="17"/>
        <v>7076493000000</v>
      </c>
      <c r="R129" s="147">
        <f t="shared" si="18"/>
        <v>-7.655755470965632E-2</v>
      </c>
      <c r="U129" s="361" t="s">
        <v>256</v>
      </c>
      <c r="V129" s="362">
        <v>2.7605758469416096E-3</v>
      </c>
    </row>
    <row r="130" spans="2:22" x14ac:dyDescent="0.2">
      <c r="B130" s="49" t="str">
        <f>'X3'!B134</f>
        <v>MAPI</v>
      </c>
      <c r="C130" s="49"/>
      <c r="D130" s="145">
        <f>'X3'!E134</f>
        <v>16305732664000</v>
      </c>
      <c r="E130" s="44">
        <v>14149615423000</v>
      </c>
      <c r="F130" s="185">
        <f t="shared" si="15"/>
        <v>0.15237991821991584</v>
      </c>
      <c r="H130" s="48"/>
      <c r="I130" s="49"/>
      <c r="J130" s="145">
        <f>'X3 (2)'!K134</f>
        <v>18921123000000</v>
      </c>
      <c r="K130" s="145">
        <f>'X3'!E134</f>
        <v>16305732664000</v>
      </c>
      <c r="L130" s="147">
        <f t="shared" si="12"/>
        <v>0.16039698368011954</v>
      </c>
      <c r="N130" s="48"/>
      <c r="O130" s="49"/>
      <c r="P130" s="145">
        <f>'X3 (3)'!D134</f>
        <v>21578745000000</v>
      </c>
      <c r="Q130" s="145">
        <f t="shared" si="17"/>
        <v>18921123000000</v>
      </c>
      <c r="R130" s="147">
        <f t="shared" si="18"/>
        <v>0.14045794216336949</v>
      </c>
      <c r="U130" s="360" t="s">
        <v>256</v>
      </c>
      <c r="V130" s="362">
        <v>9.5637733985526371E-2</v>
      </c>
    </row>
    <row r="131" spans="2:22" x14ac:dyDescent="0.2">
      <c r="B131" s="49" t="str">
        <f>'X3'!B135</f>
        <v>MNCN</v>
      </c>
      <c r="C131" s="49"/>
      <c r="D131" s="145">
        <f>'X3'!E135</f>
        <v>7052686000000</v>
      </c>
      <c r="E131" s="44">
        <v>6730276000000</v>
      </c>
      <c r="F131" s="185">
        <f t="shared" si="15"/>
        <v>4.7904424721957911E-2</v>
      </c>
      <c r="H131" s="48"/>
      <c r="I131" s="49"/>
      <c r="J131" s="145">
        <f>'X3 (2)'!K135</f>
        <v>7443905000000</v>
      </c>
      <c r="K131" s="145">
        <f>'X3'!E135</f>
        <v>7052686000000</v>
      </c>
      <c r="L131" s="147">
        <f t="shared" si="12"/>
        <v>5.5470922709447153E-2</v>
      </c>
      <c r="N131" s="48"/>
      <c r="O131" s="49"/>
      <c r="P131" s="145">
        <f>'X3 (3)'!D135</f>
        <v>8353365000000</v>
      </c>
      <c r="Q131" s="145">
        <f t="shared" si="17"/>
        <v>7443905000000</v>
      </c>
      <c r="R131" s="147">
        <f t="shared" si="18"/>
        <v>0.1221751217942733</v>
      </c>
      <c r="U131" s="45" t="s">
        <v>444</v>
      </c>
      <c r="V131" s="362">
        <v>0.24893677904792921</v>
      </c>
    </row>
    <row r="132" spans="2:22" x14ac:dyDescent="0.2">
      <c r="B132" s="49" t="str">
        <f>'X3'!B136</f>
        <v>MPMX</v>
      </c>
      <c r="C132" s="49"/>
      <c r="D132" s="145">
        <f>'X3'!E136</f>
        <v>16086087000000</v>
      </c>
      <c r="E132" s="44">
        <v>16605462000000</v>
      </c>
      <c r="F132" s="185">
        <f t="shared" si="15"/>
        <v>-3.1277359220719066E-2</v>
      </c>
      <c r="H132" s="48"/>
      <c r="I132" s="49"/>
      <c r="J132" s="145">
        <f>'X3 (2)'!K136</f>
        <v>15893585000000</v>
      </c>
      <c r="K132" s="145">
        <f>'X3'!E136</f>
        <v>16086087000000</v>
      </c>
      <c r="L132" s="147">
        <f t="shared" ref="L132:L141" si="19">(J132-K132)/K132</f>
        <v>-1.1966987372379622E-2</v>
      </c>
      <c r="N132" s="48"/>
      <c r="O132" s="49"/>
      <c r="P132" s="145">
        <f>'X3 (3)'!D136</f>
        <v>16818172000000</v>
      </c>
      <c r="Q132" s="145">
        <f t="shared" si="17"/>
        <v>15893585000000</v>
      </c>
      <c r="R132" s="147">
        <f t="shared" si="18"/>
        <v>5.8173596454166886E-2</v>
      </c>
      <c r="U132" s="361" t="s">
        <v>444</v>
      </c>
      <c r="V132" s="362">
        <v>0.35451273252263699</v>
      </c>
    </row>
    <row r="133" spans="2:22" x14ac:dyDescent="0.2">
      <c r="B133" s="49" t="str">
        <f>'X3'!B137</f>
        <v>SCMA</v>
      </c>
      <c r="C133" s="49"/>
      <c r="D133" s="145">
        <f>'X3'!E137</f>
        <v>4453848569000</v>
      </c>
      <c r="E133" s="44">
        <v>4524135762000</v>
      </c>
      <c r="F133" s="185">
        <f t="shared" si="15"/>
        <v>-1.5536048584211341E-2</v>
      </c>
      <c r="H133" s="48"/>
      <c r="I133" s="49"/>
      <c r="J133" s="145">
        <f>'X3 (2)'!K137</f>
        <v>5276794930000</v>
      </c>
      <c r="K133" s="145">
        <f>'X3'!E137</f>
        <v>4453848569000</v>
      </c>
      <c r="L133" s="147">
        <f t="shared" si="19"/>
        <v>0.1847719670417021</v>
      </c>
      <c r="N133" s="48"/>
      <c r="O133" s="49"/>
      <c r="P133" s="145">
        <f>'X3 (3)'!D137</f>
        <v>5523362497000</v>
      </c>
      <c r="Q133" s="145">
        <f t="shared" si="17"/>
        <v>5276794930000</v>
      </c>
      <c r="R133" s="147">
        <f t="shared" si="18"/>
        <v>4.6726766961929296E-2</v>
      </c>
      <c r="U133" s="360" t="s">
        <v>444</v>
      </c>
      <c r="V133" s="362">
        <v>-0.16801716740349815</v>
      </c>
    </row>
    <row r="134" spans="2:22" x14ac:dyDescent="0.2">
      <c r="B134" s="49" t="str">
        <f>'X3'!B138</f>
        <v>SDPC</v>
      </c>
      <c r="C134" s="49"/>
      <c r="D134" s="145">
        <f>'X3'!E138</f>
        <v>2110824973137</v>
      </c>
      <c r="E134" s="44">
        <v>1970114275524</v>
      </c>
      <c r="F134" s="185">
        <f t="shared" si="15"/>
        <v>7.1422606983330722E-2</v>
      </c>
      <c r="H134" s="48"/>
      <c r="I134" s="49"/>
      <c r="J134" s="145">
        <f>'X3 (2)'!K138</f>
        <v>2376182739151</v>
      </c>
      <c r="K134" s="145">
        <f>'X3'!E138</f>
        <v>2110824973137</v>
      </c>
      <c r="L134" s="147">
        <f t="shared" si="19"/>
        <v>0.12571282289674585</v>
      </c>
      <c r="N134" s="48"/>
      <c r="O134" s="49"/>
      <c r="P134" s="145">
        <f>'X3 (3)'!D138</f>
        <v>2726755413484</v>
      </c>
      <c r="Q134" s="145">
        <f t="shared" si="17"/>
        <v>2376182739151</v>
      </c>
      <c r="R134" s="147">
        <f t="shared" si="18"/>
        <v>0.1475360747962752</v>
      </c>
      <c r="U134" s="45" t="s">
        <v>531</v>
      </c>
      <c r="V134" s="362">
        <v>7.1868831672916769E-3</v>
      </c>
    </row>
    <row r="135" spans="2:22" x14ac:dyDescent="0.2">
      <c r="B135" s="49" t="str">
        <f>'X3'!B139</f>
        <v>SILO</v>
      </c>
      <c r="C135" s="49"/>
      <c r="D135" s="145">
        <f>'X3'!E139</f>
        <v>5848006000000</v>
      </c>
      <c r="E135" s="44">
        <v>5168363000000</v>
      </c>
      <c r="F135" s="185">
        <f t="shared" si="15"/>
        <v>0.13150063182481572</v>
      </c>
      <c r="H135" s="48"/>
      <c r="I135" s="49"/>
      <c r="J135" s="145">
        <f>'X3 (2)'!K139</f>
        <v>5964650000000</v>
      </c>
      <c r="K135" s="145">
        <f>'X3'!E139</f>
        <v>5848006000000</v>
      </c>
      <c r="L135" s="147">
        <f t="shared" si="19"/>
        <v>1.9945943967909746E-2</v>
      </c>
      <c r="N135" s="48"/>
      <c r="O135" s="49"/>
      <c r="P135" s="145">
        <f>'X3 (3)'!D139</f>
        <v>7017919000000</v>
      </c>
      <c r="Q135" s="145">
        <f t="shared" si="17"/>
        <v>5964650000000</v>
      </c>
      <c r="R135" s="147">
        <f t="shared" si="18"/>
        <v>0.17658521455575768</v>
      </c>
      <c r="U135" s="361" t="s">
        <v>531</v>
      </c>
      <c r="V135" s="362">
        <v>5.9777058974469825E-2</v>
      </c>
    </row>
    <row r="136" spans="2:22" x14ac:dyDescent="0.2">
      <c r="B136" s="49" t="str">
        <f>'X3'!B140</f>
        <v>SONA</v>
      </c>
      <c r="C136" s="49"/>
      <c r="D136" s="145">
        <f>'X3'!E140</f>
        <v>1582767220537</v>
      </c>
      <c r="E136" s="44">
        <v>1295926316419</v>
      </c>
      <c r="F136" s="185">
        <f t="shared" si="15"/>
        <v>0.22134044234136716</v>
      </c>
      <c r="H136" s="48"/>
      <c r="I136" s="49"/>
      <c r="J136" s="145">
        <f>'X3 (2)'!K140</f>
        <v>1780328975476</v>
      </c>
      <c r="K136" s="145">
        <f>'X3'!E140</f>
        <v>1582767220537</v>
      </c>
      <c r="L136" s="147">
        <f t="shared" si="19"/>
        <v>0.12482047415157575</v>
      </c>
      <c r="N136" s="48"/>
      <c r="O136" s="49"/>
      <c r="P136" s="145">
        <f>'X3 (3)'!D140</f>
        <v>1522938636165</v>
      </c>
      <c r="Q136" s="145">
        <f t="shared" si="17"/>
        <v>1780328975476</v>
      </c>
      <c r="R136" s="147">
        <f t="shared" si="18"/>
        <v>-0.14457459427810665</v>
      </c>
      <c r="U136" s="360" t="s">
        <v>531</v>
      </c>
      <c r="V136" s="362">
        <v>-0.15886351497230558</v>
      </c>
    </row>
    <row r="137" spans="2:22" x14ac:dyDescent="0.2">
      <c r="B137" s="49" t="str">
        <f>'X3'!B141</f>
        <v>TRIO</v>
      </c>
      <c r="C137" s="49"/>
      <c r="D137" s="145">
        <f>'X3'!E141</f>
        <v>2028659770454</v>
      </c>
      <c r="E137" s="44">
        <v>1717579307635</v>
      </c>
      <c r="F137" s="185">
        <f t="shared" si="15"/>
        <v>0.18111563258603672</v>
      </c>
      <c r="H137" s="48"/>
      <c r="I137" s="49"/>
      <c r="J137" s="145">
        <f>'X3 (2)'!K141</f>
        <v>1671866232277</v>
      </c>
      <c r="K137" s="145">
        <f>'X3'!E141</f>
        <v>2028659770454</v>
      </c>
      <c r="L137" s="147">
        <f t="shared" si="19"/>
        <v>-0.17587647932563483</v>
      </c>
      <c r="N137" s="48"/>
      <c r="O137" s="49"/>
      <c r="P137" s="145">
        <f>'X3 (3)'!D141</f>
        <v>966725371267</v>
      </c>
      <c r="Q137" s="145">
        <f t="shared" si="17"/>
        <v>1671866232277</v>
      </c>
      <c r="R137" s="147">
        <f t="shared" si="18"/>
        <v>-0.42176870816371037</v>
      </c>
      <c r="U137" s="45" t="s">
        <v>362</v>
      </c>
      <c r="V137" s="362">
        <v>0.9790442998142016</v>
      </c>
    </row>
    <row r="138" spans="2:22" x14ac:dyDescent="0.2">
      <c r="B138" s="49" t="str">
        <f>'X3'!B142</f>
        <v>UNTR</v>
      </c>
      <c r="C138" s="49"/>
      <c r="D138" s="145">
        <f>'X3'!E142</f>
        <v>64559204000000</v>
      </c>
      <c r="E138" s="44">
        <v>45539238000000</v>
      </c>
      <c r="F138" s="185">
        <f t="shared" si="15"/>
        <v>0.41766105089417616</v>
      </c>
      <c r="H138" s="48"/>
      <c r="I138" s="49"/>
      <c r="J138" s="145">
        <f>'X3 (2)'!K142</f>
        <v>84624733000000</v>
      </c>
      <c r="K138" s="145">
        <f>'X3'!E142</f>
        <v>64559204000000</v>
      </c>
      <c r="L138" s="147">
        <f t="shared" si="19"/>
        <v>0.3108081846857963</v>
      </c>
      <c r="N138" s="48"/>
      <c r="O138" s="49"/>
      <c r="P138" s="145">
        <f>'X3 (3)'!D142</f>
        <v>84430478000000</v>
      </c>
      <c r="Q138" s="145">
        <f t="shared" si="17"/>
        <v>84624733000000</v>
      </c>
      <c r="R138" s="147">
        <f t="shared" si="18"/>
        <v>-2.2954873015670254E-3</v>
      </c>
      <c r="U138" s="361" t="s">
        <v>362</v>
      </c>
      <c r="V138" s="362">
        <v>0.47049145986797386</v>
      </c>
    </row>
    <row r="139" spans="2:22" x14ac:dyDescent="0.2">
      <c r="B139" s="49">
        <f>'X3'!B143</f>
        <v>0</v>
      </c>
      <c r="C139" s="49"/>
      <c r="D139" s="145">
        <f>'X3'!E143</f>
        <v>0</v>
      </c>
      <c r="E139" s="44"/>
      <c r="F139" s="185" t="e">
        <f t="shared" si="15"/>
        <v>#DIV/0!</v>
      </c>
      <c r="H139" s="48"/>
      <c r="I139" s="49"/>
      <c r="J139" s="145">
        <f>'X3 (2)'!K143</f>
        <v>0</v>
      </c>
      <c r="K139" s="145">
        <f>'X3'!E143</f>
        <v>0</v>
      </c>
      <c r="L139" s="147" t="e">
        <f t="shared" si="19"/>
        <v>#DIV/0!</v>
      </c>
      <c r="N139" s="48"/>
      <c r="O139" s="49"/>
      <c r="P139" s="145">
        <f>'X3 (3)'!D143</f>
        <v>0</v>
      </c>
      <c r="Q139" s="145">
        <f t="shared" si="17"/>
        <v>0</v>
      </c>
      <c r="R139" s="147" t="e">
        <f t="shared" si="18"/>
        <v>#DIV/0!</v>
      </c>
      <c r="U139" s="360" t="s">
        <v>362</v>
      </c>
      <c r="V139" s="362">
        <v>2.3246109367802765E-2</v>
      </c>
    </row>
    <row r="140" spans="2:22" x14ac:dyDescent="0.2">
      <c r="B140" s="49">
        <f>'X3'!B144</f>
        <v>0</v>
      </c>
      <c r="C140" s="49"/>
      <c r="D140" s="145">
        <f>'X3'!E144</f>
        <v>0</v>
      </c>
      <c r="E140" s="44"/>
      <c r="F140" s="185" t="e">
        <f t="shared" si="15"/>
        <v>#DIV/0!</v>
      </c>
      <c r="H140" s="48"/>
      <c r="I140" s="49"/>
      <c r="J140" s="145">
        <f>'X3 (2)'!K144</f>
        <v>0</v>
      </c>
      <c r="K140" s="145">
        <f>'X3'!E144</f>
        <v>0</v>
      </c>
      <c r="L140" s="147" t="e">
        <f t="shared" si="19"/>
        <v>#DIV/0!</v>
      </c>
      <c r="N140" s="48"/>
      <c r="O140" s="49"/>
      <c r="P140" s="145">
        <f>'X3 (3)'!D144</f>
        <v>0</v>
      </c>
      <c r="Q140" s="145">
        <f t="shared" si="17"/>
        <v>0</v>
      </c>
      <c r="R140" s="147" t="e">
        <f t="shared" si="18"/>
        <v>#DIV/0!</v>
      </c>
      <c r="U140" s="45" t="s">
        <v>154</v>
      </c>
      <c r="V140" s="362">
        <v>9.2190844166372646E-2</v>
      </c>
    </row>
    <row r="141" spans="2:22" x14ac:dyDescent="0.2">
      <c r="B141" s="49">
        <f>'X3'!B145</f>
        <v>0</v>
      </c>
      <c r="C141" s="49"/>
      <c r="D141" s="48"/>
      <c r="E141" s="44"/>
      <c r="F141" s="185" t="e">
        <f t="shared" si="15"/>
        <v>#DIV/0!</v>
      </c>
      <c r="H141" s="48"/>
      <c r="I141" s="49"/>
      <c r="J141" s="145">
        <f>'X3 (2)'!K145</f>
        <v>0</v>
      </c>
      <c r="K141" s="145">
        <f>'X3'!E145</f>
        <v>0</v>
      </c>
      <c r="L141" s="147" t="e">
        <f t="shared" si="19"/>
        <v>#DIV/0!</v>
      </c>
      <c r="N141" s="48"/>
      <c r="O141" s="49"/>
      <c r="P141" s="145">
        <f>'X3 (3)'!D145</f>
        <v>0</v>
      </c>
      <c r="Q141" s="145">
        <f t="shared" si="17"/>
        <v>0</v>
      </c>
      <c r="R141" s="147" t="e">
        <f t="shared" si="18"/>
        <v>#DIV/0!</v>
      </c>
      <c r="U141" s="361" t="s">
        <v>154</v>
      </c>
      <c r="V141" s="362">
        <v>0.14886981928356235</v>
      </c>
    </row>
    <row r="142" spans="2:22" x14ac:dyDescent="0.2">
      <c r="B142" s="49">
        <f>'X3'!B146</f>
        <v>0</v>
      </c>
      <c r="C142" s="49"/>
      <c r="D142" s="48"/>
      <c r="E142" s="44"/>
      <c r="F142" s="48"/>
      <c r="H142" s="48"/>
      <c r="I142" s="49"/>
      <c r="J142" s="48"/>
      <c r="K142" s="48"/>
      <c r="L142" s="48"/>
      <c r="N142" s="48"/>
      <c r="O142" s="49"/>
      <c r="P142" s="48"/>
      <c r="Q142" s="48"/>
      <c r="R142" s="48"/>
      <c r="U142" s="360" t="s">
        <v>154</v>
      </c>
      <c r="V142" s="362">
        <v>0.15480637114710449</v>
      </c>
    </row>
    <row r="143" spans="2:22" x14ac:dyDescent="0.2">
      <c r="B143" s="49"/>
      <c r="C143" s="49"/>
      <c r="D143" s="48"/>
      <c r="E143" s="44"/>
      <c r="F143" s="48"/>
      <c r="H143" s="48"/>
      <c r="I143" s="49"/>
      <c r="J143" s="48"/>
      <c r="K143" s="48"/>
      <c r="L143" s="48"/>
      <c r="N143" s="48"/>
      <c r="O143" s="49"/>
      <c r="P143" s="48"/>
      <c r="Q143" s="48"/>
      <c r="R143" s="48"/>
      <c r="U143" s="45" t="s">
        <v>264</v>
      </c>
      <c r="V143" s="362">
        <v>8.2786167001734093E-2</v>
      </c>
    </row>
    <row r="144" spans="2:22" x14ac:dyDescent="0.2">
      <c r="B144" s="49"/>
      <c r="C144" s="49"/>
      <c r="D144" s="48"/>
      <c r="E144" s="44"/>
      <c r="F144" s="48"/>
      <c r="H144" s="48"/>
      <c r="I144" s="49"/>
      <c r="J144" s="48"/>
      <c r="K144" s="48"/>
      <c r="L144" s="48"/>
      <c r="N144" s="48"/>
      <c r="O144" s="49"/>
      <c r="P144" s="48"/>
      <c r="Q144" s="48"/>
      <c r="R144" s="48"/>
      <c r="U144" s="361" t="s">
        <v>264</v>
      </c>
      <c r="V144" s="362">
        <v>-9.715495332782062E-2</v>
      </c>
    </row>
    <row r="145" spans="2:22" x14ac:dyDescent="0.2">
      <c r="B145" s="49"/>
      <c r="C145" s="49"/>
      <c r="D145" s="48"/>
      <c r="E145" s="44"/>
      <c r="F145" s="48"/>
      <c r="H145" s="48"/>
      <c r="I145" s="49"/>
      <c r="J145" s="48"/>
      <c r="K145" s="48"/>
      <c r="L145" s="48"/>
      <c r="N145" s="48"/>
      <c r="O145" s="49"/>
      <c r="P145" s="48"/>
      <c r="Q145" s="48"/>
      <c r="R145" s="48"/>
      <c r="U145" s="360" t="s">
        <v>264</v>
      </c>
      <c r="V145" s="362">
        <v>3.2362891713739766E-2</v>
      </c>
    </row>
    <row r="146" spans="2:22" x14ac:dyDescent="0.2">
      <c r="B146" s="49"/>
      <c r="C146" s="49"/>
      <c r="D146" s="48"/>
      <c r="E146" s="44"/>
      <c r="F146" s="48"/>
      <c r="H146" s="48"/>
      <c r="I146" s="49"/>
      <c r="J146" s="48"/>
      <c r="K146" s="48"/>
      <c r="L146" s="48"/>
      <c r="N146" s="48"/>
      <c r="O146" s="49"/>
      <c r="P146" s="48"/>
      <c r="Q146" s="48"/>
      <c r="R146" s="48"/>
      <c r="U146" s="45" t="s">
        <v>536</v>
      </c>
      <c r="V146" s="362">
        <v>3.7654299435891853E-2</v>
      </c>
    </row>
    <row r="147" spans="2:22" x14ac:dyDescent="0.2">
      <c r="B147" s="49"/>
      <c r="C147" s="49"/>
      <c r="D147" s="48"/>
      <c r="E147" s="44"/>
      <c r="F147" s="48"/>
      <c r="H147" s="48"/>
      <c r="I147" s="49"/>
      <c r="J147" s="48"/>
      <c r="K147" s="48"/>
      <c r="L147" s="48"/>
      <c r="N147" s="48"/>
      <c r="O147" s="49"/>
      <c r="P147" s="48"/>
      <c r="Q147" s="48"/>
      <c r="R147" s="48"/>
      <c r="U147" s="361" t="s">
        <v>536</v>
      </c>
      <c r="V147" s="362">
        <v>8.503767393010972E-2</v>
      </c>
    </row>
    <row r="148" spans="2:22" x14ac:dyDescent="0.2">
      <c r="B148" s="49"/>
      <c r="C148" s="49"/>
      <c r="D148" s="48"/>
      <c r="E148" s="44"/>
      <c r="F148" s="48"/>
      <c r="H148" s="48"/>
      <c r="I148" s="49"/>
      <c r="J148" s="48"/>
      <c r="K148" s="48"/>
      <c r="L148" s="48"/>
      <c r="N148" s="48"/>
      <c r="O148" s="49"/>
      <c r="P148" s="48"/>
      <c r="Q148" s="48"/>
      <c r="R148" s="48"/>
      <c r="U148" s="360" t="s">
        <v>536</v>
      </c>
      <c r="V148" s="362">
        <v>3.8402888767180114E-2</v>
      </c>
    </row>
    <row r="149" spans="2:22" x14ac:dyDescent="0.2">
      <c r="B149" s="49"/>
      <c r="C149" s="49"/>
      <c r="D149" s="48"/>
      <c r="E149" s="44"/>
      <c r="F149" s="48"/>
      <c r="H149" s="48"/>
      <c r="I149" s="49"/>
      <c r="J149" s="48"/>
      <c r="K149" s="48"/>
      <c r="L149" s="48"/>
      <c r="N149" s="48"/>
      <c r="O149" s="49"/>
      <c r="P149" s="48"/>
      <c r="Q149" s="48"/>
      <c r="R149" s="48"/>
      <c r="U149" s="45" t="s">
        <v>540</v>
      </c>
      <c r="V149" s="362">
        <v>9.5364829278175606E-2</v>
      </c>
    </row>
    <row r="150" spans="2:22" x14ac:dyDescent="0.2">
      <c r="B150" s="49"/>
      <c r="C150" s="49"/>
      <c r="D150" s="48"/>
      <c r="E150" s="44"/>
      <c r="F150" s="48"/>
      <c r="H150" s="48"/>
      <c r="I150" s="49"/>
      <c r="J150" s="48"/>
      <c r="K150" s="48"/>
      <c r="L150" s="48"/>
      <c r="N150" s="48"/>
      <c r="O150" s="49"/>
      <c r="P150" s="48"/>
      <c r="Q150" s="48"/>
      <c r="R150" s="48"/>
      <c r="U150" s="361" t="s">
        <v>540</v>
      </c>
      <c r="V150" s="362">
        <v>0.143388030705459</v>
      </c>
    </row>
    <row r="151" spans="2:22" x14ac:dyDescent="0.2">
      <c r="B151" s="49"/>
      <c r="C151" s="49"/>
      <c r="D151" s="48"/>
      <c r="E151" s="44"/>
      <c r="F151" s="48"/>
      <c r="H151" s="48"/>
      <c r="I151" s="49"/>
      <c r="J151" s="48"/>
      <c r="K151" s="48"/>
      <c r="L151" s="48"/>
      <c r="N151" s="48"/>
      <c r="O151" s="49"/>
      <c r="P151" s="48"/>
      <c r="Q151" s="48"/>
      <c r="R151" s="48"/>
      <c r="U151" s="360" t="s">
        <v>540</v>
      </c>
      <c r="V151" s="362">
        <v>6.7204122791457599E-2</v>
      </c>
    </row>
    <row r="152" spans="2:22" x14ac:dyDescent="0.2">
      <c r="B152" s="49"/>
      <c r="C152" s="49"/>
      <c r="D152" s="48"/>
      <c r="E152" s="44"/>
      <c r="F152" s="48"/>
      <c r="H152" s="48"/>
      <c r="I152" s="49"/>
      <c r="J152" s="48"/>
      <c r="K152" s="48"/>
      <c r="L152" s="48"/>
      <c r="N152" s="48"/>
      <c r="O152" s="49"/>
      <c r="P152" s="48"/>
      <c r="Q152" s="48"/>
      <c r="R152" s="48"/>
      <c r="U152" s="45" t="s">
        <v>542</v>
      </c>
      <c r="V152" s="362">
        <v>-0.21476609116950376</v>
      </c>
    </row>
    <row r="153" spans="2:22" x14ac:dyDescent="0.2">
      <c r="B153" s="49"/>
      <c r="C153" s="49"/>
      <c r="D153" s="48"/>
      <c r="E153" s="44"/>
      <c r="F153" s="48"/>
      <c r="H153" s="48"/>
      <c r="I153" s="49"/>
      <c r="J153" s="48"/>
      <c r="K153" s="48"/>
      <c r="L153" s="48"/>
      <c r="N153" s="48"/>
      <c r="O153" s="49"/>
      <c r="P153" s="48"/>
      <c r="Q153" s="48"/>
      <c r="R153" s="48"/>
      <c r="U153" s="361" t="s">
        <v>542</v>
      </c>
      <c r="V153" s="362">
        <v>-0.59163549960788997</v>
      </c>
    </row>
    <row r="154" spans="2:22" x14ac:dyDescent="0.2">
      <c r="B154" s="49"/>
      <c r="C154" s="49"/>
      <c r="D154" s="48"/>
      <c r="E154" s="44"/>
      <c r="F154" s="48"/>
      <c r="H154" s="48"/>
      <c r="I154" s="49"/>
      <c r="J154" s="48"/>
      <c r="K154" s="48"/>
      <c r="L154" s="48"/>
      <c r="N154" s="48"/>
      <c r="O154" s="49"/>
      <c r="P154" s="48"/>
      <c r="Q154" s="48"/>
      <c r="R154" s="48"/>
      <c r="U154" s="360" t="s">
        <v>542</v>
      </c>
      <c r="V154" s="362">
        <v>-0.9841532416678519</v>
      </c>
    </row>
    <row r="155" spans="2:22" x14ac:dyDescent="0.2">
      <c r="B155" s="49"/>
      <c r="C155" s="49"/>
      <c r="D155" s="48"/>
      <c r="E155" s="44"/>
      <c r="F155" s="48"/>
      <c r="H155" s="48"/>
      <c r="I155" s="49"/>
      <c r="J155" s="48"/>
      <c r="K155" s="48"/>
      <c r="L155" s="48"/>
      <c r="N155" s="48"/>
      <c r="O155" s="49"/>
      <c r="P155" s="48"/>
      <c r="Q155" s="48"/>
      <c r="R155" s="48"/>
      <c r="U155" s="45" t="s">
        <v>770</v>
      </c>
      <c r="V155" s="362">
        <v>-4.710456574170465E-2</v>
      </c>
    </row>
    <row r="156" spans="2:22" x14ac:dyDescent="0.2">
      <c r="B156" s="49"/>
      <c r="C156" s="49"/>
      <c r="D156" s="48"/>
      <c r="E156" s="44"/>
      <c r="F156" s="48"/>
      <c r="H156" s="48"/>
      <c r="I156" s="49"/>
      <c r="J156" s="48"/>
      <c r="K156" s="48"/>
      <c r="L156" s="48"/>
      <c r="N156" s="48"/>
      <c r="O156" s="49"/>
      <c r="P156" s="48"/>
      <c r="Q156" s="48"/>
      <c r="R156" s="48"/>
      <c r="U156" s="361" t="s">
        <v>770</v>
      </c>
      <c r="V156" s="362">
        <v>-4.8527510124187889E-3</v>
      </c>
    </row>
    <row r="157" spans="2:22" x14ac:dyDescent="0.2">
      <c r="B157" s="49"/>
      <c r="C157" s="49"/>
      <c r="D157" s="48"/>
      <c r="E157" s="44"/>
      <c r="F157" s="48"/>
      <c r="H157" s="48"/>
      <c r="I157" s="49"/>
      <c r="J157" s="48"/>
      <c r="K157" s="48"/>
      <c r="L157" s="48"/>
      <c r="N157" s="48"/>
      <c r="O157" s="49"/>
      <c r="P157" s="48"/>
      <c r="Q157" s="48"/>
      <c r="R157" s="48"/>
      <c r="U157" s="360" t="s">
        <v>770</v>
      </c>
      <c r="V157" s="362">
        <v>-5.4170079247430433E-2</v>
      </c>
    </row>
    <row r="158" spans="2:22" x14ac:dyDescent="0.2">
      <c r="B158" s="49"/>
      <c r="C158" s="49"/>
      <c r="D158" s="48"/>
      <c r="E158" s="44"/>
      <c r="F158" s="48"/>
      <c r="H158" s="48"/>
      <c r="I158" s="49"/>
      <c r="J158" s="48"/>
      <c r="K158" s="48"/>
      <c r="L158" s="48"/>
      <c r="N158" s="48"/>
      <c r="O158" s="49"/>
      <c r="P158" s="48"/>
      <c r="Q158" s="48"/>
      <c r="R158" s="48"/>
      <c r="U158" s="45" t="s">
        <v>774</v>
      </c>
      <c r="V158" s="362">
        <v>-0.81261233350063811</v>
      </c>
    </row>
    <row r="159" spans="2:22" x14ac:dyDescent="0.2">
      <c r="B159" s="49"/>
      <c r="C159" s="49"/>
      <c r="D159" s="48"/>
      <c r="E159" s="44"/>
      <c r="F159" s="48"/>
      <c r="H159" s="48"/>
      <c r="I159" s="49"/>
      <c r="J159" s="48"/>
      <c r="K159" s="48"/>
      <c r="L159" s="48"/>
      <c r="N159" s="48"/>
      <c r="O159" s="49"/>
      <c r="P159" s="48"/>
      <c r="Q159" s="48"/>
      <c r="R159" s="48"/>
      <c r="U159" s="361" t="s">
        <v>774</v>
      </c>
      <c r="V159" s="362">
        <v>7.5199440726319953</v>
      </c>
    </row>
    <row r="160" spans="2:22" x14ac:dyDescent="0.2">
      <c r="B160" s="49"/>
      <c r="C160" s="49"/>
      <c r="D160" s="48"/>
      <c r="E160" s="44"/>
      <c r="F160" s="48"/>
      <c r="H160" s="48"/>
      <c r="I160" s="49"/>
      <c r="J160" s="48"/>
      <c r="K160" s="48"/>
      <c r="L160" s="48"/>
      <c r="N160" s="48"/>
      <c r="O160" s="49"/>
      <c r="P160" s="48"/>
      <c r="Q160" s="48"/>
      <c r="R160" s="48"/>
      <c r="U160" s="360" t="s">
        <v>774</v>
      </c>
      <c r="V160" s="362">
        <v>-3.4413793103448276E-2</v>
      </c>
    </row>
    <row r="161" spans="2:22" x14ac:dyDescent="0.2">
      <c r="B161" s="49"/>
      <c r="C161" s="49"/>
      <c r="D161" s="48"/>
      <c r="E161" s="44"/>
      <c r="F161" s="48"/>
      <c r="H161" s="48"/>
      <c r="I161" s="49"/>
      <c r="J161" s="48"/>
      <c r="K161" s="48"/>
      <c r="L161" s="48"/>
      <c r="N161" s="48"/>
      <c r="O161" s="49"/>
      <c r="P161" s="48"/>
      <c r="Q161" s="48"/>
      <c r="R161" s="48"/>
      <c r="U161" s="45" t="s">
        <v>266</v>
      </c>
      <c r="V161" s="362">
        <v>0.12314263488573843</v>
      </c>
    </row>
    <row r="162" spans="2:22" x14ac:dyDescent="0.2">
      <c r="B162" s="49"/>
      <c r="C162" s="49"/>
      <c r="D162" s="48"/>
      <c r="E162" s="44"/>
      <c r="F162" s="48"/>
      <c r="H162" s="48"/>
      <c r="I162" s="49"/>
      <c r="J162" s="48"/>
      <c r="K162" s="48"/>
      <c r="L162" s="48"/>
      <c r="N162" s="48"/>
      <c r="O162" s="49"/>
      <c r="P162" s="48"/>
      <c r="Q162" s="48"/>
      <c r="R162" s="48"/>
      <c r="U162" s="361" t="s">
        <v>266</v>
      </c>
      <c r="V162" s="362">
        <v>0.29116597175819053</v>
      </c>
    </row>
    <row r="163" spans="2:22" x14ac:dyDescent="0.2">
      <c r="B163" s="49"/>
      <c r="C163" s="49"/>
      <c r="D163" s="48"/>
      <c r="E163" s="44"/>
      <c r="F163" s="48"/>
      <c r="H163" s="48"/>
      <c r="I163" s="49"/>
      <c r="J163" s="48"/>
      <c r="K163" s="48"/>
      <c r="L163" s="48"/>
      <c r="N163" s="48"/>
      <c r="O163" s="49"/>
      <c r="P163" s="48"/>
      <c r="Q163" s="48"/>
      <c r="R163" s="48"/>
      <c r="U163" s="360" t="s">
        <v>266</v>
      </c>
      <c r="V163" s="362">
        <v>1.8099173368528038E-2</v>
      </c>
    </row>
    <row r="164" spans="2:22" x14ac:dyDescent="0.2">
      <c r="B164" s="49"/>
      <c r="C164" s="49"/>
      <c r="D164" s="48"/>
      <c r="E164" s="44"/>
      <c r="F164" s="48"/>
      <c r="H164" s="48"/>
      <c r="I164" s="49"/>
      <c r="J164" s="48"/>
      <c r="K164" s="48"/>
      <c r="L164" s="48"/>
      <c r="N164" s="48"/>
      <c r="O164" s="49"/>
      <c r="P164" s="48"/>
      <c r="Q164" s="48"/>
      <c r="R164" s="48"/>
      <c r="U164" s="45" t="s">
        <v>158</v>
      </c>
      <c r="V164" s="362">
        <v>3.7969560408928953E-2</v>
      </c>
    </row>
    <row r="165" spans="2:22" x14ac:dyDescent="0.2">
      <c r="B165" s="49"/>
      <c r="C165" s="49"/>
      <c r="D165" s="48"/>
      <c r="E165" s="44"/>
      <c r="F165" s="48"/>
      <c r="H165" s="48"/>
      <c r="I165" s="49"/>
      <c r="J165" s="48"/>
      <c r="K165" s="48"/>
      <c r="L165" s="48"/>
      <c r="N165" s="48"/>
      <c r="O165" s="49"/>
      <c r="P165" s="48"/>
      <c r="Q165" s="48"/>
      <c r="R165" s="48"/>
      <c r="U165" s="361" t="s">
        <v>158</v>
      </c>
      <c r="V165" s="362">
        <v>7.7205494268306654E-2</v>
      </c>
    </row>
    <row r="166" spans="2:22" x14ac:dyDescent="0.2">
      <c r="B166" s="49"/>
      <c r="C166" s="49"/>
      <c r="D166" s="48"/>
      <c r="E166" s="44"/>
      <c r="F166" s="48"/>
      <c r="H166" s="48"/>
      <c r="I166" s="49"/>
      <c r="J166" s="48"/>
      <c r="K166" s="48"/>
      <c r="L166" s="48"/>
      <c r="N166" s="48"/>
      <c r="O166" s="49"/>
      <c r="P166" s="48"/>
      <c r="Q166" s="48"/>
      <c r="R166" s="48"/>
      <c r="U166" s="360" t="s">
        <v>158</v>
      </c>
      <c r="V166" s="362">
        <v>-6.433416099027138E-3</v>
      </c>
    </row>
    <row r="167" spans="2:22" x14ac:dyDescent="0.2">
      <c r="B167" s="49"/>
      <c r="C167" s="49"/>
      <c r="D167" s="48"/>
      <c r="E167" s="44"/>
      <c r="F167" s="48"/>
      <c r="H167" s="48"/>
      <c r="I167" s="49"/>
      <c r="J167" s="48"/>
      <c r="K167" s="48"/>
      <c r="L167" s="48"/>
      <c r="N167" s="48"/>
      <c r="O167" s="49"/>
      <c r="P167" s="48"/>
      <c r="Q167" s="48"/>
      <c r="R167" s="48"/>
      <c r="U167" s="45" t="s">
        <v>167</v>
      </c>
      <c r="V167" s="362">
        <v>3.582104861767349E-2</v>
      </c>
    </row>
    <row r="168" spans="2:22" x14ac:dyDescent="0.2">
      <c r="B168" s="49"/>
      <c r="C168" s="49"/>
      <c r="D168" s="48"/>
      <c r="E168" s="44"/>
      <c r="F168" s="48"/>
      <c r="H168" s="48"/>
      <c r="I168" s="49"/>
      <c r="J168" s="48"/>
      <c r="K168" s="48"/>
      <c r="L168" s="48"/>
      <c r="N168" s="48"/>
      <c r="O168" s="49"/>
      <c r="P168" s="48"/>
      <c r="Q168" s="48"/>
      <c r="R168" s="48"/>
      <c r="U168" s="361" t="s">
        <v>167</v>
      </c>
      <c r="V168" s="362">
        <v>7.882849111679964E-2</v>
      </c>
    </row>
    <row r="169" spans="2:22" x14ac:dyDescent="0.2">
      <c r="B169" s="49"/>
      <c r="C169" s="49"/>
      <c r="D169" s="48"/>
      <c r="E169" s="44"/>
      <c r="F169" s="48"/>
      <c r="H169" s="48"/>
      <c r="I169" s="49"/>
      <c r="J169" s="48"/>
      <c r="K169" s="48"/>
      <c r="L169" s="48"/>
      <c r="N169" s="48"/>
      <c r="O169" s="49"/>
      <c r="P169" s="48"/>
      <c r="Q169" s="48"/>
      <c r="R169" s="48"/>
      <c r="U169" s="360" t="s">
        <v>167</v>
      </c>
      <c r="V169" s="362">
        <v>0.10109220460450176</v>
      </c>
    </row>
    <row r="170" spans="2:22" x14ac:dyDescent="0.2">
      <c r="B170" s="49"/>
      <c r="C170" s="49"/>
      <c r="D170" s="48"/>
      <c r="E170" s="44"/>
      <c r="F170" s="48"/>
      <c r="H170" s="48"/>
      <c r="I170" s="49"/>
      <c r="J170" s="48"/>
      <c r="K170" s="48"/>
      <c r="L170" s="48"/>
      <c r="N170" s="48"/>
      <c r="O170" s="49"/>
      <c r="P170" s="48"/>
      <c r="Q170" s="48"/>
      <c r="R170" s="48"/>
      <c r="U170" s="45" t="s">
        <v>546</v>
      </c>
      <c r="V170" s="362">
        <v>2.0592331360424113E-2</v>
      </c>
    </row>
    <row r="171" spans="2:22" x14ac:dyDescent="0.2">
      <c r="B171" s="49"/>
      <c r="C171" s="49"/>
      <c r="D171" s="48"/>
      <c r="E171" s="44"/>
      <c r="F171" s="48"/>
      <c r="H171" s="48"/>
      <c r="I171" s="49"/>
      <c r="J171" s="48"/>
      <c r="K171" s="48"/>
      <c r="L171" s="48"/>
      <c r="N171" s="48"/>
      <c r="O171" s="49"/>
      <c r="P171" s="48"/>
      <c r="Q171" s="48"/>
      <c r="R171" s="48"/>
      <c r="U171" s="361" t="s">
        <v>546</v>
      </c>
      <c r="V171" s="362">
        <v>0.16399261165505674</v>
      </c>
    </row>
    <row r="172" spans="2:22" x14ac:dyDescent="0.2">
      <c r="B172" s="49"/>
      <c r="C172" s="49"/>
      <c r="D172" s="48"/>
      <c r="E172" s="44"/>
      <c r="F172" s="48"/>
      <c r="H172" s="48"/>
      <c r="I172" s="49"/>
      <c r="J172" s="48"/>
      <c r="K172" s="48"/>
      <c r="L172" s="48"/>
      <c r="N172" s="48"/>
      <c r="O172" s="49"/>
      <c r="P172" s="48"/>
      <c r="Q172" s="48"/>
      <c r="R172" s="48"/>
      <c r="U172" s="360" t="s">
        <v>546</v>
      </c>
      <c r="V172" s="362">
        <v>4.1215291581632105E-2</v>
      </c>
    </row>
    <row r="173" spans="2:22" x14ac:dyDescent="0.2">
      <c r="B173" s="49"/>
      <c r="C173" s="49"/>
      <c r="D173" s="48"/>
      <c r="E173" s="44"/>
      <c r="F173" s="48"/>
      <c r="H173" s="48"/>
      <c r="I173" s="49"/>
      <c r="J173" s="48"/>
      <c r="K173" s="48"/>
      <c r="L173" s="48"/>
      <c r="N173" s="48"/>
      <c r="O173" s="49"/>
      <c r="P173" s="48"/>
      <c r="Q173" s="48"/>
      <c r="R173" s="48"/>
      <c r="U173" s="45" t="s">
        <v>366</v>
      </c>
      <c r="V173" s="362">
        <v>7.9032866218206904E-2</v>
      </c>
    </row>
    <row r="174" spans="2:22" x14ac:dyDescent="0.2">
      <c r="B174" s="49"/>
      <c r="C174" s="49"/>
      <c r="D174" s="48"/>
      <c r="E174" s="44"/>
      <c r="F174" s="48"/>
      <c r="H174" s="48"/>
      <c r="I174" s="49"/>
      <c r="J174" s="48"/>
      <c r="K174" s="48"/>
      <c r="L174" s="48"/>
      <c r="N174" s="48"/>
      <c r="O174" s="49"/>
      <c r="P174" s="48"/>
      <c r="Q174" s="48"/>
      <c r="R174" s="48"/>
      <c r="U174" s="361" t="s">
        <v>366</v>
      </c>
      <c r="V174" s="362">
        <v>0.31918008365634065</v>
      </c>
    </row>
    <row r="175" spans="2:22" x14ac:dyDescent="0.2">
      <c r="B175" s="49"/>
      <c r="C175" s="49"/>
      <c r="D175" s="48"/>
      <c r="E175" s="44"/>
      <c r="F175" s="48"/>
      <c r="H175" s="48"/>
      <c r="I175" s="49"/>
      <c r="J175" s="48"/>
      <c r="K175" s="48"/>
      <c r="L175" s="48"/>
      <c r="N175" s="48"/>
      <c r="O175" s="49"/>
      <c r="P175" s="48"/>
      <c r="Q175" s="48"/>
      <c r="R175" s="48"/>
      <c r="U175" s="360" t="s">
        <v>366</v>
      </c>
      <c r="V175" s="362">
        <v>-2.8060238347810261E-2</v>
      </c>
    </row>
    <row r="176" spans="2:22" x14ac:dyDescent="0.2">
      <c r="B176" s="49"/>
      <c r="C176" s="49"/>
      <c r="D176" s="48"/>
      <c r="E176" s="44"/>
      <c r="F176" s="48"/>
      <c r="H176" s="48"/>
      <c r="I176" s="49"/>
      <c r="J176" s="48"/>
      <c r="K176" s="48"/>
      <c r="L176" s="48"/>
      <c r="N176" s="48"/>
      <c r="O176" s="49"/>
      <c r="P176" s="48"/>
      <c r="Q176" s="48"/>
      <c r="R176" s="48"/>
      <c r="U176" s="45" t="s">
        <v>176</v>
      </c>
      <c r="V176" s="362">
        <v>5.2912710815463261E-2</v>
      </c>
    </row>
    <row r="177" spans="2:22" x14ac:dyDescent="0.2">
      <c r="B177" s="49"/>
      <c r="C177" s="49"/>
      <c r="D177" s="48"/>
      <c r="E177" s="44"/>
      <c r="F177" s="48"/>
      <c r="H177" s="48"/>
      <c r="I177" s="49"/>
      <c r="J177" s="48"/>
      <c r="K177" s="48"/>
      <c r="L177" s="48"/>
      <c r="N177" s="48"/>
      <c r="O177" s="49"/>
      <c r="P177" s="48"/>
      <c r="Q177" s="48"/>
      <c r="R177" s="48"/>
      <c r="U177" s="361" t="s">
        <v>176</v>
      </c>
      <c r="V177" s="362">
        <v>4.5708285872956583E-2</v>
      </c>
    </row>
    <row r="178" spans="2:22" x14ac:dyDescent="0.2">
      <c r="B178" s="49"/>
      <c r="C178" s="49"/>
      <c r="D178" s="48"/>
      <c r="E178" s="44"/>
      <c r="F178" s="48"/>
      <c r="H178" s="48"/>
      <c r="I178" s="49"/>
      <c r="J178" s="48"/>
      <c r="K178" s="48"/>
      <c r="L178" s="48"/>
      <c r="N178" s="48"/>
      <c r="O178" s="49"/>
      <c r="P178" s="48"/>
      <c r="Q178" s="48"/>
      <c r="R178" s="48"/>
      <c r="U178" s="360" t="s">
        <v>176</v>
      </c>
      <c r="V178" s="362">
        <v>4.3575704783591539E-2</v>
      </c>
    </row>
    <row r="179" spans="2:22" x14ac:dyDescent="0.2">
      <c r="B179" s="49"/>
      <c r="C179" s="49"/>
      <c r="D179" s="48"/>
      <c r="E179" s="44"/>
      <c r="F179" s="48"/>
      <c r="H179" s="48"/>
      <c r="I179" s="49"/>
      <c r="J179" s="48"/>
      <c r="K179" s="48"/>
      <c r="L179" s="48"/>
      <c r="N179" s="48"/>
      <c r="O179" s="49"/>
      <c r="P179" s="48"/>
      <c r="Q179" s="48"/>
      <c r="R179" s="48"/>
      <c r="U179" s="45" t="s">
        <v>549</v>
      </c>
      <c r="V179" s="362">
        <v>8.98626011064073E-2</v>
      </c>
    </row>
    <row r="180" spans="2:22" x14ac:dyDescent="0.2">
      <c r="B180" s="49"/>
      <c r="C180" s="49"/>
      <c r="D180" s="48"/>
      <c r="E180" s="44"/>
      <c r="F180" s="48"/>
      <c r="H180" s="48"/>
      <c r="I180" s="49"/>
      <c r="J180" s="48"/>
      <c r="K180" s="48"/>
      <c r="L180" s="48"/>
      <c r="N180" s="48"/>
      <c r="O180" s="49"/>
      <c r="P180" s="48"/>
      <c r="Q180" s="48"/>
      <c r="R180" s="48"/>
      <c r="U180" s="361" t="s">
        <v>549</v>
      </c>
      <c r="V180" s="362">
        <v>0.15313323582998947</v>
      </c>
    </row>
    <row r="181" spans="2:22" x14ac:dyDescent="0.2">
      <c r="B181" s="49"/>
      <c r="C181" s="49"/>
      <c r="D181" s="48"/>
      <c r="E181" s="44"/>
      <c r="F181" s="48"/>
      <c r="H181" s="48"/>
      <c r="I181" s="49"/>
      <c r="J181" s="48"/>
      <c r="K181" s="48"/>
      <c r="L181" s="48"/>
      <c r="N181" s="48"/>
      <c r="O181" s="49"/>
      <c r="P181" s="48"/>
      <c r="Q181" s="48"/>
      <c r="R181" s="48"/>
      <c r="U181" s="360" t="s">
        <v>549</v>
      </c>
      <c r="V181" s="362">
        <v>-0.11689264231326775</v>
      </c>
    </row>
    <row r="182" spans="2:22" x14ac:dyDescent="0.2">
      <c r="B182" s="49"/>
      <c r="C182" s="49"/>
      <c r="D182" s="48"/>
      <c r="E182" s="44"/>
      <c r="F182" s="48"/>
      <c r="H182" s="48"/>
      <c r="I182" s="49"/>
      <c r="J182" s="48"/>
      <c r="K182" s="48"/>
      <c r="L182" s="48"/>
      <c r="N182" s="48"/>
      <c r="O182" s="49"/>
      <c r="P182" s="48"/>
      <c r="Q182" s="48"/>
      <c r="R182" s="48"/>
      <c r="U182" s="45" t="s">
        <v>368</v>
      </c>
      <c r="V182" s="362">
        <v>0.41952607147086213</v>
      </c>
    </row>
    <row r="183" spans="2:22" x14ac:dyDescent="0.2">
      <c r="B183" s="49"/>
      <c r="C183" s="49"/>
      <c r="D183" s="48"/>
      <c r="E183" s="44"/>
      <c r="F183" s="48"/>
      <c r="H183" s="48"/>
      <c r="I183" s="49"/>
      <c r="J183" s="48"/>
      <c r="K183" s="48"/>
      <c r="L183" s="48"/>
      <c r="N183" s="48"/>
      <c r="O183" s="49"/>
      <c r="P183" s="48"/>
      <c r="Q183" s="48"/>
      <c r="R183" s="48"/>
      <c r="U183" s="361" t="s">
        <v>368</v>
      </c>
      <c r="V183" s="362">
        <v>1.8815654683597365</v>
      </c>
    </row>
    <row r="184" spans="2:22" x14ac:dyDescent="0.2">
      <c r="B184" s="49"/>
      <c r="C184" s="49"/>
      <c r="D184" s="48"/>
      <c r="E184" s="44"/>
      <c r="F184" s="48"/>
      <c r="H184" s="48"/>
      <c r="I184" s="49"/>
      <c r="J184" s="48"/>
      <c r="K184" s="48"/>
      <c r="L184" s="48"/>
      <c r="N184" s="48"/>
      <c r="O184" s="49"/>
      <c r="P184" s="48"/>
      <c r="Q184" s="48"/>
      <c r="R184" s="48"/>
      <c r="U184" s="360" t="s">
        <v>368</v>
      </c>
      <c r="V184" s="362">
        <v>-9.3135297542516704E-2</v>
      </c>
    </row>
    <row r="185" spans="2:22" x14ac:dyDescent="0.2">
      <c r="B185" s="49"/>
      <c r="C185" s="49"/>
      <c r="D185" s="48"/>
      <c r="E185" s="44"/>
      <c r="F185" s="48"/>
      <c r="H185" s="48"/>
      <c r="I185" s="49"/>
      <c r="J185" s="48"/>
      <c r="K185" s="48"/>
      <c r="L185" s="48"/>
      <c r="N185" s="48"/>
      <c r="O185" s="49"/>
      <c r="P185" s="48"/>
      <c r="Q185" s="48"/>
      <c r="R185" s="48"/>
      <c r="U185" s="45" t="s">
        <v>451</v>
      </c>
      <c r="V185" s="362">
        <v>0.11429739334791693</v>
      </c>
    </row>
    <row r="186" spans="2:22" x14ac:dyDescent="0.2">
      <c r="B186" s="49"/>
      <c r="C186" s="49"/>
      <c r="D186" s="48"/>
      <c r="E186" s="44"/>
      <c r="F186" s="48"/>
      <c r="H186" s="48"/>
      <c r="I186" s="49"/>
      <c r="J186" s="48"/>
      <c r="K186" s="48"/>
      <c r="L186" s="48"/>
      <c r="N186" s="48"/>
      <c r="O186" s="49"/>
      <c r="P186" s="48"/>
      <c r="Q186" s="48"/>
      <c r="R186" s="48"/>
      <c r="U186" s="361" t="s">
        <v>451</v>
      </c>
      <c r="V186" s="362">
        <v>0.139506153945954</v>
      </c>
    </row>
    <row r="187" spans="2:22" x14ac:dyDescent="0.2">
      <c r="B187" s="49"/>
      <c r="C187" s="49"/>
      <c r="D187" s="48"/>
      <c r="E187" s="44"/>
      <c r="F187" s="48"/>
      <c r="H187" s="48"/>
      <c r="I187" s="49"/>
      <c r="J187" s="48"/>
      <c r="K187" s="48"/>
      <c r="L187" s="48"/>
      <c r="N187" s="48"/>
      <c r="O187" s="49"/>
      <c r="P187" s="48"/>
      <c r="Q187" s="48"/>
      <c r="R187" s="48"/>
      <c r="U187" s="360" t="s">
        <v>451</v>
      </c>
      <c r="V187" s="362">
        <v>-6.6920362399682271E-2</v>
      </c>
    </row>
    <row r="188" spans="2:22" x14ac:dyDescent="0.2">
      <c r="B188" s="49"/>
      <c r="C188" s="49"/>
      <c r="D188" s="48"/>
      <c r="E188" s="44"/>
      <c r="F188" s="48"/>
      <c r="H188" s="48"/>
      <c r="I188" s="49"/>
      <c r="J188" s="48"/>
      <c r="K188" s="48"/>
      <c r="L188" s="48"/>
      <c r="N188" s="48"/>
      <c r="O188" s="49"/>
      <c r="P188" s="48"/>
      <c r="Q188" s="48"/>
      <c r="R188" s="48"/>
      <c r="U188" s="45" t="s">
        <v>455</v>
      </c>
      <c r="V188" s="362">
        <v>-6.0583870712817053E-2</v>
      </c>
    </row>
    <row r="189" spans="2:22" x14ac:dyDescent="0.2">
      <c r="B189" s="49"/>
      <c r="C189" s="49"/>
      <c r="D189" s="48"/>
      <c r="E189" s="44"/>
      <c r="F189" s="48"/>
      <c r="H189" s="48"/>
      <c r="I189" s="49"/>
      <c r="J189" s="48"/>
      <c r="K189" s="48"/>
      <c r="L189" s="48"/>
      <c r="N189" s="48"/>
      <c r="O189" s="49"/>
      <c r="P189" s="48"/>
      <c r="Q189" s="48"/>
      <c r="R189" s="48"/>
      <c r="U189" s="361" t="s">
        <v>455</v>
      </c>
      <c r="V189" s="362">
        <v>5.2599327942748533E-2</v>
      </c>
    </row>
    <row r="190" spans="2:22" x14ac:dyDescent="0.2">
      <c r="B190" s="49"/>
      <c r="C190" s="49"/>
      <c r="D190" s="48"/>
      <c r="E190" s="44"/>
      <c r="F190" s="48"/>
      <c r="H190" s="48"/>
      <c r="I190" s="49"/>
      <c r="J190" s="48"/>
      <c r="K190" s="48"/>
      <c r="L190" s="48"/>
      <c r="N190" s="48"/>
      <c r="O190" s="49"/>
      <c r="P190" s="48"/>
      <c r="Q190" s="48"/>
      <c r="R190" s="48"/>
      <c r="U190" s="360" t="s">
        <v>455</v>
      </c>
      <c r="V190" s="362">
        <v>4.9312116173214154E-2</v>
      </c>
    </row>
    <row r="191" spans="2:22" x14ac:dyDescent="0.2">
      <c r="B191" s="49"/>
      <c r="C191" s="49"/>
      <c r="D191" s="48"/>
      <c r="E191" s="44"/>
      <c r="F191" s="48"/>
      <c r="H191" s="48"/>
      <c r="I191" s="49"/>
      <c r="J191" s="48"/>
      <c r="K191" s="48"/>
      <c r="L191" s="48"/>
      <c r="N191" s="48"/>
      <c r="O191" s="49"/>
      <c r="P191" s="48"/>
      <c r="Q191" s="48"/>
      <c r="R191" s="48"/>
      <c r="U191" s="45" t="s">
        <v>459</v>
      </c>
      <c r="V191" s="362">
        <v>-1.4465821366318502E-2</v>
      </c>
    </row>
    <row r="192" spans="2:22" x14ac:dyDescent="0.2">
      <c r="B192" s="49"/>
      <c r="C192" s="49"/>
      <c r="D192" s="48"/>
      <c r="E192" s="44"/>
      <c r="F192" s="48"/>
      <c r="H192" s="48"/>
      <c r="I192" s="49"/>
      <c r="J192" s="48"/>
      <c r="K192" s="48"/>
      <c r="L192" s="48"/>
      <c r="N192" s="48"/>
      <c r="O192" s="49"/>
      <c r="P192" s="48"/>
      <c r="Q192" s="48"/>
      <c r="R192" s="48"/>
      <c r="U192" s="361" t="s">
        <v>459</v>
      </c>
      <c r="V192" s="362">
        <v>0.13649893623732579</v>
      </c>
    </row>
    <row r="193" spans="2:22" x14ac:dyDescent="0.2">
      <c r="B193" s="49"/>
      <c r="C193" s="49"/>
      <c r="D193" s="48"/>
      <c r="E193" s="44"/>
      <c r="F193" s="48"/>
      <c r="H193" s="48"/>
      <c r="I193" s="49"/>
      <c r="J193" s="48"/>
      <c r="K193" s="48"/>
      <c r="L193" s="48"/>
      <c r="N193" s="48"/>
      <c r="O193" s="49"/>
      <c r="P193" s="48"/>
      <c r="Q193" s="48"/>
      <c r="R193" s="48"/>
      <c r="U193" s="360" t="s">
        <v>459</v>
      </c>
      <c r="V193" s="362">
        <v>-7.2363449334210919E-2</v>
      </c>
    </row>
    <row r="194" spans="2:22" x14ac:dyDescent="0.2">
      <c r="B194" s="49"/>
      <c r="C194" s="49"/>
      <c r="D194" s="48"/>
      <c r="E194" s="44"/>
      <c r="F194" s="48"/>
      <c r="H194" s="48"/>
      <c r="I194" s="49"/>
      <c r="J194" s="48"/>
      <c r="K194" s="48"/>
      <c r="L194" s="48"/>
      <c r="N194" s="48"/>
      <c r="O194" s="49"/>
      <c r="P194" s="48"/>
      <c r="Q194" s="48"/>
      <c r="R194" s="48"/>
      <c r="U194" s="45" t="s">
        <v>276</v>
      </c>
      <c r="V194" s="362">
        <v>0.24198711144816112</v>
      </c>
    </row>
    <row r="195" spans="2:22" x14ac:dyDescent="0.2">
      <c r="B195" s="49"/>
      <c r="C195" s="49"/>
      <c r="D195" s="48"/>
      <c r="E195" s="44"/>
      <c r="F195" s="48"/>
      <c r="H195" s="48"/>
      <c r="I195" s="49"/>
      <c r="J195" s="48"/>
      <c r="K195" s="48"/>
      <c r="L195" s="48"/>
      <c r="N195" s="48"/>
      <c r="O195" s="49"/>
      <c r="P195" s="48"/>
      <c r="Q195" s="48"/>
      <c r="R195" s="48"/>
      <c r="U195" s="361" t="s">
        <v>276</v>
      </c>
      <c r="V195" s="362">
        <v>-0.22677687548841149</v>
      </c>
    </row>
    <row r="196" spans="2:22" x14ac:dyDescent="0.2">
      <c r="B196" s="49"/>
      <c r="C196" s="49"/>
      <c r="D196" s="48"/>
      <c r="E196" s="44"/>
      <c r="F196" s="48"/>
      <c r="H196" s="48"/>
      <c r="I196" s="49"/>
      <c r="J196" s="48"/>
      <c r="K196" s="48"/>
      <c r="L196" s="48"/>
      <c r="N196" s="48"/>
      <c r="O196" s="49"/>
      <c r="P196" s="48"/>
      <c r="Q196" s="48"/>
      <c r="R196" s="48"/>
      <c r="U196" s="360" t="s">
        <v>276</v>
      </c>
      <c r="V196" s="362">
        <v>0.12869661991280643</v>
      </c>
    </row>
    <row r="197" spans="2:22" x14ac:dyDescent="0.2">
      <c r="B197" s="49"/>
      <c r="C197" s="49"/>
      <c r="D197" s="48"/>
      <c r="E197" s="44"/>
      <c r="F197" s="48"/>
      <c r="H197" s="48"/>
      <c r="I197" s="49"/>
      <c r="J197" s="48"/>
      <c r="K197" s="48"/>
      <c r="L197" s="48"/>
      <c r="N197" s="48"/>
      <c r="O197" s="49"/>
      <c r="P197" s="48"/>
      <c r="Q197" s="48"/>
      <c r="R197" s="48"/>
      <c r="U197" s="45" t="s">
        <v>372</v>
      </c>
      <c r="V197" s="362">
        <v>0.23740132605236663</v>
      </c>
    </row>
    <row r="198" spans="2:22" x14ac:dyDescent="0.2">
      <c r="B198" s="49"/>
      <c r="C198" s="49"/>
      <c r="D198" s="48"/>
      <c r="E198" s="44"/>
      <c r="F198" s="48"/>
      <c r="H198" s="48"/>
      <c r="I198" s="49"/>
      <c r="J198" s="48"/>
      <c r="K198" s="48"/>
      <c r="L198" s="48"/>
      <c r="N198" s="48"/>
      <c r="O198" s="49"/>
      <c r="P198" s="48"/>
      <c r="Q198" s="48"/>
      <c r="R198" s="48"/>
      <c r="U198" s="361" t="s">
        <v>372</v>
      </c>
      <c r="V198" s="362">
        <v>-0.99873018862245055</v>
      </c>
    </row>
    <row r="199" spans="2:22" x14ac:dyDescent="0.2">
      <c r="B199" s="49"/>
      <c r="C199" s="49"/>
      <c r="D199" s="48"/>
      <c r="E199" s="44"/>
      <c r="F199" s="48"/>
      <c r="H199" s="48"/>
      <c r="I199" s="49"/>
      <c r="J199" s="48"/>
      <c r="K199" s="48"/>
      <c r="L199" s="48"/>
      <c r="N199" s="48"/>
      <c r="O199" s="49"/>
      <c r="P199" s="48"/>
      <c r="Q199" s="48"/>
      <c r="R199" s="48"/>
      <c r="U199" s="360" t="s">
        <v>372</v>
      </c>
      <c r="V199" s="362">
        <v>824.12716022855568</v>
      </c>
    </row>
    <row r="200" spans="2:22" x14ac:dyDescent="0.2">
      <c r="B200" s="49"/>
      <c r="C200" s="49"/>
      <c r="D200" s="48"/>
      <c r="E200" s="44"/>
      <c r="F200" s="48"/>
      <c r="H200" s="48"/>
      <c r="I200" s="49"/>
      <c r="J200" s="48"/>
      <c r="K200" s="48"/>
      <c r="L200" s="48"/>
      <c r="N200" s="48"/>
      <c r="O200" s="49"/>
      <c r="P200" s="48"/>
      <c r="Q200" s="48"/>
      <c r="R200" s="48"/>
      <c r="U200" s="45" t="s">
        <v>465</v>
      </c>
      <c r="V200" s="362">
        <v>9.3831020669681575E-2</v>
      </c>
    </row>
    <row r="201" spans="2:22" x14ac:dyDescent="0.2">
      <c r="B201" s="49"/>
      <c r="C201" s="49"/>
      <c r="D201" s="48"/>
      <c r="E201" s="44"/>
      <c r="F201" s="48"/>
      <c r="H201" s="48"/>
      <c r="I201" s="49"/>
      <c r="J201" s="48"/>
      <c r="K201" s="48"/>
      <c r="L201" s="48"/>
      <c r="N201" s="48"/>
      <c r="O201" s="49"/>
      <c r="P201" s="48"/>
      <c r="Q201" s="48"/>
      <c r="R201" s="48"/>
      <c r="U201" s="361" t="s">
        <v>465</v>
      </c>
      <c r="V201" s="362">
        <v>0.14898231538973758</v>
      </c>
    </row>
    <row r="202" spans="2:22" x14ac:dyDescent="0.2">
      <c r="B202" s="49"/>
      <c r="C202" s="49"/>
      <c r="D202" s="48"/>
      <c r="E202" s="44"/>
      <c r="F202" s="48"/>
      <c r="H202" s="48"/>
      <c r="I202" s="49"/>
      <c r="J202" s="48"/>
      <c r="K202" s="48"/>
      <c r="L202" s="48"/>
      <c r="N202" s="48"/>
      <c r="O202" s="49"/>
      <c r="P202" s="48"/>
      <c r="Q202" s="48"/>
      <c r="R202" s="48"/>
      <c r="U202" s="360" t="s">
        <v>465</v>
      </c>
      <c r="V202" s="362">
        <v>8.0251633458006386E-2</v>
      </c>
    </row>
    <row r="203" spans="2:22" x14ac:dyDescent="0.2">
      <c r="B203" s="49"/>
      <c r="C203" s="49"/>
      <c r="D203" s="48"/>
      <c r="E203" s="44"/>
      <c r="F203" s="48"/>
      <c r="H203" s="48"/>
      <c r="I203" s="49"/>
      <c r="J203" s="48"/>
      <c r="K203" s="48"/>
      <c r="L203" s="48"/>
      <c r="N203" s="48"/>
      <c r="O203" s="49"/>
      <c r="P203" s="48"/>
      <c r="Q203" s="48"/>
      <c r="R203" s="48"/>
      <c r="U203" s="45" t="s">
        <v>649</v>
      </c>
      <c r="V203" s="362">
        <v>-3.342063763069094E-2</v>
      </c>
    </row>
    <row r="204" spans="2:22" x14ac:dyDescent="0.2">
      <c r="B204" s="49"/>
      <c r="C204" s="49"/>
      <c r="D204" s="48"/>
      <c r="E204" s="44"/>
      <c r="F204" s="48"/>
      <c r="H204" s="48"/>
      <c r="I204" s="49"/>
      <c r="J204" s="48"/>
      <c r="K204" s="48"/>
      <c r="L204" s="48"/>
      <c r="N204" s="48"/>
      <c r="O204" s="49"/>
      <c r="P204" s="48"/>
      <c r="Q204" s="48"/>
      <c r="R204" s="48"/>
      <c r="U204" s="361" t="s">
        <v>649</v>
      </c>
      <c r="V204" s="362">
        <v>0.14720559845529033</v>
      </c>
    </row>
    <row r="205" spans="2:22" x14ac:dyDescent="0.2">
      <c r="B205" s="49"/>
      <c r="C205" s="49"/>
      <c r="D205" s="48"/>
      <c r="E205" s="44"/>
      <c r="F205" s="48"/>
      <c r="H205" s="48"/>
      <c r="I205" s="49"/>
      <c r="J205" s="48"/>
      <c r="K205" s="48"/>
      <c r="L205" s="48"/>
      <c r="N205" s="48"/>
      <c r="O205" s="49"/>
      <c r="P205" s="48"/>
      <c r="Q205" s="48"/>
      <c r="R205" s="48"/>
      <c r="U205" s="360" t="s">
        <v>649</v>
      </c>
      <c r="V205" s="362">
        <v>6.0799220017181722E-2</v>
      </c>
    </row>
    <row r="206" spans="2:22" x14ac:dyDescent="0.2">
      <c r="B206" s="49"/>
      <c r="C206" s="49"/>
      <c r="D206" s="48"/>
      <c r="E206" s="44"/>
      <c r="F206" s="48"/>
      <c r="H206" s="48"/>
      <c r="I206" s="49"/>
      <c r="J206" s="48"/>
      <c r="K206" s="48"/>
      <c r="L206" s="48"/>
      <c r="N206" s="48"/>
      <c r="O206" s="49"/>
      <c r="P206" s="48"/>
      <c r="Q206" s="48"/>
      <c r="R206" s="48"/>
      <c r="U206" s="45" t="s">
        <v>557</v>
      </c>
      <c r="V206" s="362">
        <v>0.1331729584712231</v>
      </c>
    </row>
    <row r="207" spans="2:22" x14ac:dyDescent="0.2">
      <c r="B207" s="49"/>
      <c r="C207" s="49"/>
      <c r="D207" s="48"/>
      <c r="E207" s="44"/>
      <c r="F207" s="48"/>
      <c r="H207" s="48"/>
      <c r="I207" s="49"/>
      <c r="J207" s="48"/>
      <c r="K207" s="48"/>
      <c r="L207" s="48"/>
      <c r="N207" s="48"/>
      <c r="O207" s="49"/>
      <c r="P207" s="48"/>
      <c r="Q207" s="48"/>
      <c r="R207" s="48"/>
      <c r="U207" s="361" t="s">
        <v>557</v>
      </c>
      <c r="V207" s="362">
        <v>0.3305084026102556</v>
      </c>
    </row>
    <row r="208" spans="2:22" x14ac:dyDescent="0.2">
      <c r="B208" s="49"/>
      <c r="C208" s="49"/>
      <c r="D208" s="48"/>
      <c r="E208" s="44"/>
      <c r="F208" s="48"/>
      <c r="H208" s="48"/>
      <c r="I208" s="49"/>
      <c r="J208" s="48"/>
      <c r="K208" s="48"/>
      <c r="L208" s="48"/>
      <c r="N208" s="48"/>
      <c r="O208" s="49"/>
      <c r="P208" s="48"/>
      <c r="Q208" s="48"/>
      <c r="R208" s="48"/>
      <c r="U208" s="360" t="s">
        <v>557</v>
      </c>
      <c r="V208" s="362">
        <v>6.1467383638402859E-2</v>
      </c>
    </row>
    <row r="209" spans="2:22" x14ac:dyDescent="0.2">
      <c r="B209" s="49"/>
      <c r="C209" s="49"/>
      <c r="D209" s="48"/>
      <c r="E209" s="44"/>
      <c r="F209" s="48"/>
      <c r="H209" s="48"/>
      <c r="I209" s="49"/>
      <c r="J209" s="48"/>
      <c r="K209" s="48"/>
      <c r="L209" s="48"/>
      <c r="N209" s="48"/>
      <c r="O209" s="49"/>
      <c r="P209" s="48"/>
      <c r="Q209" s="48"/>
      <c r="R209" s="48"/>
      <c r="U209" s="45" t="s">
        <v>181</v>
      </c>
      <c r="V209" s="362">
        <v>0.14119945464206338</v>
      </c>
    </row>
    <row r="210" spans="2:22" x14ac:dyDescent="0.2">
      <c r="B210" s="49"/>
      <c r="C210" s="49"/>
      <c r="D210" s="48"/>
      <c r="E210" s="44"/>
      <c r="F210" s="48"/>
      <c r="H210" s="48"/>
      <c r="I210" s="49"/>
      <c r="J210" s="48"/>
      <c r="K210" s="48"/>
      <c r="L210" s="48"/>
      <c r="N210" s="48"/>
      <c r="O210" s="49"/>
      <c r="P210" s="48"/>
      <c r="Q210" s="48"/>
      <c r="R210" s="48"/>
      <c r="U210" s="361" t="s">
        <v>181</v>
      </c>
      <c r="V210" s="362">
        <v>-0.2336429951664693</v>
      </c>
    </row>
    <row r="211" spans="2:22" x14ac:dyDescent="0.2">
      <c r="B211" s="49"/>
      <c r="C211" s="49"/>
      <c r="D211" s="48"/>
      <c r="E211" s="44"/>
      <c r="F211" s="48"/>
      <c r="H211" s="48"/>
      <c r="I211" s="49"/>
      <c r="J211" s="48"/>
      <c r="K211" s="48"/>
      <c r="L211" s="48"/>
      <c r="N211" s="48"/>
      <c r="O211" s="49"/>
      <c r="P211" s="48"/>
      <c r="Q211" s="48"/>
      <c r="R211" s="48"/>
      <c r="U211" s="360" t="s">
        <v>181</v>
      </c>
      <c r="V211" s="362">
        <v>4.7691398338561342E-2</v>
      </c>
    </row>
    <row r="212" spans="2:22" x14ac:dyDescent="0.2">
      <c r="B212" s="49"/>
      <c r="C212" s="49"/>
      <c r="D212" s="48"/>
      <c r="E212" s="44"/>
      <c r="F212" s="48"/>
      <c r="H212" s="48"/>
      <c r="I212" s="49"/>
      <c r="J212" s="48"/>
      <c r="K212" s="48"/>
      <c r="L212" s="48"/>
      <c r="N212" s="48"/>
      <c r="O212" s="49"/>
      <c r="P212" s="48"/>
      <c r="Q212" s="48"/>
      <c r="R212" s="48"/>
      <c r="U212" s="45" t="s">
        <v>657</v>
      </c>
      <c r="V212" s="362">
        <v>2.1748171348454078E-2</v>
      </c>
    </row>
    <row r="213" spans="2:22" x14ac:dyDescent="0.2">
      <c r="B213" s="49"/>
      <c r="C213" s="49"/>
      <c r="D213" s="48"/>
      <c r="E213" s="44"/>
      <c r="F213" s="48"/>
      <c r="H213" s="48"/>
      <c r="I213" s="49"/>
      <c r="J213" s="48"/>
      <c r="K213" s="48"/>
      <c r="L213" s="48"/>
      <c r="N213" s="48"/>
      <c r="O213" s="49"/>
      <c r="P213" s="48"/>
      <c r="Q213" s="48"/>
      <c r="R213" s="48"/>
      <c r="U213" s="361" t="s">
        <v>657</v>
      </c>
      <c r="V213" s="362">
        <v>-9.4461266986062664E-2</v>
      </c>
    </row>
    <row r="214" spans="2:22" x14ac:dyDescent="0.2">
      <c r="B214" s="49"/>
      <c r="C214" s="49"/>
      <c r="D214" s="48"/>
      <c r="E214" s="44"/>
      <c r="F214" s="48"/>
      <c r="H214" s="48"/>
      <c r="I214" s="49"/>
      <c r="J214" s="48"/>
      <c r="K214" s="48"/>
      <c r="L214" s="48"/>
      <c r="N214" s="48"/>
      <c r="O214" s="49"/>
      <c r="P214" s="48"/>
      <c r="Q214" s="48"/>
      <c r="R214" s="48"/>
      <c r="U214" s="360" t="s">
        <v>657</v>
      </c>
      <c r="V214" s="362">
        <v>-0.16885988887458173</v>
      </c>
    </row>
    <row r="215" spans="2:22" x14ac:dyDescent="0.2">
      <c r="B215" s="49"/>
      <c r="C215" s="49"/>
      <c r="D215" s="48"/>
      <c r="E215" s="44"/>
      <c r="F215" s="48"/>
      <c r="H215" s="48"/>
      <c r="I215" s="49"/>
      <c r="J215" s="48"/>
      <c r="K215" s="48"/>
      <c r="L215" s="48"/>
      <c r="N215" s="48"/>
      <c r="O215" s="49"/>
      <c r="P215" s="48"/>
      <c r="Q215" s="48"/>
      <c r="R215" s="48"/>
      <c r="U215" s="45" t="s">
        <v>190</v>
      </c>
      <c r="V215" s="362">
        <v>-9.5158532922338057E-2</v>
      </c>
    </row>
    <row r="216" spans="2:22" x14ac:dyDescent="0.2">
      <c r="B216" s="49"/>
      <c r="C216" s="49"/>
      <c r="D216" s="48"/>
      <c r="E216" s="44"/>
      <c r="F216" s="48"/>
      <c r="H216" s="48"/>
      <c r="I216" s="49"/>
      <c r="J216" s="48"/>
      <c r="K216" s="48"/>
      <c r="L216" s="48"/>
      <c r="N216" s="48"/>
      <c r="O216" s="49"/>
      <c r="P216" s="48"/>
      <c r="Q216" s="48"/>
      <c r="R216" s="48"/>
      <c r="U216" s="361" t="s">
        <v>190</v>
      </c>
      <c r="V216" s="362">
        <v>0.14271071053375822</v>
      </c>
    </row>
    <row r="217" spans="2:22" x14ac:dyDescent="0.2">
      <c r="B217" s="49"/>
      <c r="C217" s="49"/>
      <c r="D217" s="48"/>
      <c r="E217" s="44"/>
      <c r="F217" s="48"/>
      <c r="H217" s="48"/>
      <c r="I217" s="49"/>
      <c r="J217" s="48"/>
      <c r="K217" s="48"/>
      <c r="L217" s="48"/>
      <c r="N217" s="48"/>
      <c r="O217" s="49"/>
      <c r="P217" s="48"/>
      <c r="Q217" s="48"/>
      <c r="R217" s="48"/>
      <c r="U217" s="360" t="s">
        <v>190</v>
      </c>
      <c r="V217" s="362">
        <v>-0.87045224314459402</v>
      </c>
    </row>
    <row r="218" spans="2:22" x14ac:dyDescent="0.2">
      <c r="B218" s="49"/>
      <c r="C218" s="49"/>
      <c r="D218" s="48"/>
      <c r="E218" s="44"/>
      <c r="F218" s="48"/>
      <c r="H218" s="48"/>
      <c r="I218" s="49"/>
      <c r="J218" s="48"/>
      <c r="K218" s="48"/>
      <c r="L218" s="48"/>
      <c r="N218" s="48"/>
      <c r="O218" s="49"/>
      <c r="P218" s="48"/>
      <c r="Q218" s="48"/>
      <c r="R218" s="48"/>
      <c r="U218" s="45" t="s">
        <v>184</v>
      </c>
      <c r="V218" s="362">
        <v>4.1699162711697095E-2</v>
      </c>
    </row>
    <row r="219" spans="2:22" x14ac:dyDescent="0.2">
      <c r="B219" s="49"/>
      <c r="C219" s="49"/>
      <c r="D219" s="48"/>
      <c r="E219" s="44"/>
      <c r="F219" s="48"/>
      <c r="H219" s="48"/>
      <c r="I219" s="49"/>
      <c r="J219" s="48"/>
      <c r="K219" s="48"/>
      <c r="L219" s="48"/>
      <c r="N219" s="48"/>
      <c r="O219" s="49"/>
      <c r="P219" s="48"/>
      <c r="Q219" s="48"/>
      <c r="R219" s="48"/>
      <c r="U219" s="361" t="s">
        <v>184</v>
      </c>
      <c r="V219" s="362">
        <v>4.4206753901247613E-2</v>
      </c>
    </row>
    <row r="220" spans="2:22" x14ac:dyDescent="0.2">
      <c r="B220" s="49"/>
      <c r="C220" s="49"/>
      <c r="D220" s="48"/>
      <c r="E220" s="44"/>
      <c r="F220" s="48"/>
      <c r="H220" s="48"/>
      <c r="I220" s="49"/>
      <c r="J220" s="48"/>
      <c r="K220" s="48"/>
      <c r="L220" s="48"/>
      <c r="N220" s="48"/>
      <c r="O220" s="49"/>
      <c r="P220" s="48"/>
      <c r="Q220" s="48"/>
      <c r="R220" s="48"/>
      <c r="U220" s="360" t="s">
        <v>184</v>
      </c>
      <c r="V220" s="362">
        <v>7.3984413116517406E-2</v>
      </c>
    </row>
    <row r="221" spans="2:22" x14ac:dyDescent="0.2">
      <c r="B221" s="49"/>
      <c r="C221" s="49"/>
      <c r="D221" s="48"/>
      <c r="E221" s="44"/>
      <c r="F221" s="48"/>
      <c r="H221" s="48"/>
      <c r="I221" s="49"/>
      <c r="J221" s="48"/>
      <c r="K221" s="48"/>
      <c r="L221" s="48"/>
      <c r="N221" s="48"/>
      <c r="O221" s="49"/>
      <c r="P221" s="48"/>
      <c r="Q221" s="48"/>
      <c r="R221" s="48"/>
      <c r="U221" s="45" t="s">
        <v>786</v>
      </c>
      <c r="V221" s="362">
        <v>4.6587326541764478</v>
      </c>
    </row>
    <row r="222" spans="2:22" x14ac:dyDescent="0.2">
      <c r="B222" s="49"/>
      <c r="C222" s="49"/>
      <c r="D222" s="48"/>
      <c r="E222" s="44"/>
      <c r="F222" s="48"/>
      <c r="H222" s="48"/>
      <c r="I222" s="49"/>
      <c r="J222" s="48"/>
      <c r="K222" s="48"/>
      <c r="L222" s="48"/>
      <c r="N222" s="48"/>
      <c r="O222" s="49"/>
      <c r="P222" s="48"/>
      <c r="Q222" s="48"/>
      <c r="R222" s="48"/>
      <c r="U222" s="361" t="s">
        <v>786</v>
      </c>
      <c r="V222" s="362">
        <v>3.5951755617090799</v>
      </c>
    </row>
    <row r="223" spans="2:22" x14ac:dyDescent="0.2">
      <c r="B223" s="49"/>
      <c r="C223" s="49"/>
      <c r="D223" s="48"/>
      <c r="E223" s="44"/>
      <c r="F223" s="48"/>
      <c r="H223" s="48"/>
      <c r="I223" s="49"/>
      <c r="J223" s="48"/>
      <c r="K223" s="48"/>
      <c r="L223" s="48"/>
      <c r="N223" s="48"/>
      <c r="O223" s="49"/>
      <c r="P223" s="48"/>
      <c r="Q223" s="48"/>
      <c r="R223" s="48"/>
      <c r="U223" s="360" t="s">
        <v>786</v>
      </c>
      <c r="V223" s="362">
        <v>0.61044986598760198</v>
      </c>
    </row>
    <row r="224" spans="2:22" x14ac:dyDescent="0.2">
      <c r="B224" s="49"/>
      <c r="C224" s="49"/>
      <c r="D224" s="48"/>
      <c r="E224" s="44"/>
      <c r="F224" s="48"/>
      <c r="H224" s="48"/>
      <c r="I224" s="49"/>
      <c r="J224" s="48"/>
      <c r="K224" s="48"/>
      <c r="L224" s="48"/>
      <c r="N224" s="48"/>
      <c r="O224" s="49"/>
      <c r="P224" s="48"/>
      <c r="Q224" s="48"/>
      <c r="R224" s="48"/>
      <c r="U224" s="45" t="s">
        <v>789</v>
      </c>
      <c r="V224" s="362">
        <v>0.15060079663904574</v>
      </c>
    </row>
    <row r="225" spans="2:22" x14ac:dyDescent="0.2">
      <c r="B225" s="49"/>
      <c r="C225" s="49"/>
      <c r="D225" s="48"/>
      <c r="E225" s="44"/>
      <c r="F225" s="48"/>
      <c r="H225" s="48"/>
      <c r="I225" s="49"/>
      <c r="J225" s="48"/>
      <c r="K225" s="48"/>
      <c r="L225" s="48"/>
      <c r="N225" s="48"/>
      <c r="O225" s="49"/>
      <c r="P225" s="48"/>
      <c r="Q225" s="48"/>
      <c r="R225" s="48"/>
      <c r="U225" s="361" t="s">
        <v>789</v>
      </c>
      <c r="V225" s="362">
        <v>9.688090236712503E-2</v>
      </c>
    </row>
    <row r="226" spans="2:22" x14ac:dyDescent="0.2">
      <c r="B226" s="49"/>
      <c r="C226" s="49"/>
      <c r="D226" s="48"/>
      <c r="E226" s="44"/>
      <c r="F226" s="48"/>
      <c r="H226" s="48"/>
      <c r="I226" s="49"/>
      <c r="J226" s="48"/>
      <c r="K226" s="48"/>
      <c r="L226" s="48"/>
      <c r="N226" s="48"/>
      <c r="O226" s="49"/>
      <c r="P226" s="48"/>
      <c r="Q226" s="48"/>
      <c r="R226" s="48"/>
      <c r="U226" s="360" t="s">
        <v>789</v>
      </c>
      <c r="V226" s="362">
        <v>7.2144243426875698E-3</v>
      </c>
    </row>
    <row r="227" spans="2:22" x14ac:dyDescent="0.2">
      <c r="B227" s="49"/>
      <c r="C227" s="49"/>
      <c r="D227" s="48"/>
      <c r="E227" s="44"/>
      <c r="F227" s="48"/>
      <c r="H227" s="48"/>
      <c r="I227" s="49"/>
      <c r="J227" s="48"/>
      <c r="K227" s="48"/>
      <c r="L227" s="48"/>
      <c r="N227" s="48"/>
      <c r="O227" s="49"/>
      <c r="P227" s="48"/>
      <c r="Q227" s="48"/>
      <c r="R227" s="48"/>
      <c r="U227" s="45" t="s">
        <v>471</v>
      </c>
      <c r="V227" s="362">
        <v>-7.7666828401993376E-2</v>
      </c>
    </row>
    <row r="228" spans="2:22" x14ac:dyDescent="0.2">
      <c r="B228" s="49"/>
      <c r="C228" s="49"/>
      <c r="D228" s="48"/>
      <c r="E228" s="44"/>
      <c r="F228" s="48"/>
      <c r="H228" s="48"/>
      <c r="I228" s="49"/>
      <c r="J228" s="48"/>
      <c r="K228" s="48"/>
      <c r="L228" s="48"/>
      <c r="N228" s="48"/>
      <c r="O228" s="49"/>
      <c r="P228" s="48"/>
      <c r="Q228" s="48"/>
      <c r="R228" s="48"/>
      <c r="U228" s="361" t="s">
        <v>471</v>
      </c>
      <c r="V228" s="362">
        <v>0.2128670761566078</v>
      </c>
    </row>
    <row r="229" spans="2:22" x14ac:dyDescent="0.2">
      <c r="B229" s="49"/>
      <c r="C229" s="49"/>
      <c r="D229" s="48"/>
      <c r="E229" s="44"/>
      <c r="F229" s="48"/>
      <c r="H229" s="48"/>
      <c r="I229" s="49"/>
      <c r="J229" s="48"/>
      <c r="K229" s="48"/>
      <c r="L229" s="48"/>
      <c r="N229" s="48"/>
      <c r="O229" s="49"/>
      <c r="P229" s="48"/>
      <c r="Q229" s="48"/>
      <c r="R229" s="48"/>
      <c r="U229" s="360" t="s">
        <v>471</v>
      </c>
      <c r="V229" s="362">
        <v>-0.12175415575896736</v>
      </c>
    </row>
    <row r="230" spans="2:22" x14ac:dyDescent="0.2">
      <c r="B230" s="49"/>
      <c r="C230" s="49"/>
      <c r="D230" s="48"/>
      <c r="E230" s="44"/>
      <c r="F230" s="48"/>
      <c r="H230" s="48"/>
      <c r="I230" s="49"/>
      <c r="J230" s="48"/>
      <c r="K230" s="48"/>
      <c r="L230" s="48"/>
      <c r="N230" s="48"/>
      <c r="O230" s="49"/>
      <c r="P230" s="48"/>
      <c r="Q230" s="48"/>
      <c r="R230" s="48"/>
      <c r="U230" s="45" t="s">
        <v>662</v>
      </c>
      <c r="V230" s="362">
        <v>-1.8211456593199331E-2</v>
      </c>
    </row>
    <row r="231" spans="2:22" x14ac:dyDescent="0.2">
      <c r="B231" s="49"/>
      <c r="C231" s="49"/>
      <c r="D231" s="48"/>
      <c r="E231" s="44"/>
      <c r="F231" s="48"/>
      <c r="H231" s="48"/>
      <c r="I231" s="49"/>
      <c r="J231" s="48"/>
      <c r="K231" s="48"/>
      <c r="L231" s="48"/>
      <c r="N231" s="48"/>
      <c r="O231" s="49"/>
      <c r="P231" s="48"/>
      <c r="Q231" s="48"/>
      <c r="R231" s="48"/>
      <c r="U231" s="361" t="s">
        <v>662</v>
      </c>
      <c r="V231" s="362">
        <v>0.45753483304563081</v>
      </c>
    </row>
    <row r="232" spans="2:22" x14ac:dyDescent="0.2">
      <c r="B232" s="49"/>
      <c r="C232" s="49"/>
      <c r="D232" s="48"/>
      <c r="E232" s="44"/>
      <c r="F232" s="48"/>
      <c r="H232" s="48"/>
      <c r="I232" s="49"/>
      <c r="J232" s="48"/>
      <c r="K232" s="48"/>
      <c r="L232" s="48"/>
      <c r="N232" s="48"/>
      <c r="O232" s="49"/>
      <c r="P232" s="48"/>
      <c r="Q232" s="48"/>
      <c r="R232" s="48"/>
      <c r="U232" s="360" t="s">
        <v>662</v>
      </c>
      <c r="V232" s="362">
        <v>-0.21933710915876167</v>
      </c>
    </row>
    <row r="233" spans="2:22" x14ac:dyDescent="0.2">
      <c r="B233" s="49"/>
      <c r="C233" s="49"/>
      <c r="D233" s="48"/>
      <c r="E233" s="44"/>
      <c r="F233" s="48"/>
      <c r="H233" s="48"/>
      <c r="I233" s="49"/>
      <c r="J233" s="48"/>
      <c r="K233" s="48"/>
      <c r="L233" s="48"/>
      <c r="N233" s="48"/>
      <c r="O233" s="49"/>
      <c r="P233" s="48"/>
      <c r="Q233" s="48"/>
      <c r="R233" s="48"/>
      <c r="U233" s="45" t="s">
        <v>665</v>
      </c>
      <c r="V233" s="362">
        <v>1.4296247907064063E-2</v>
      </c>
    </row>
    <row r="234" spans="2:22" x14ac:dyDescent="0.2">
      <c r="B234" s="49"/>
      <c r="C234" s="49"/>
      <c r="D234" s="48"/>
      <c r="E234" s="44"/>
      <c r="F234" s="48"/>
      <c r="H234" s="48"/>
      <c r="I234" s="49"/>
      <c r="J234" s="48"/>
      <c r="K234" s="48"/>
      <c r="L234" s="48"/>
      <c r="N234" s="48"/>
      <c r="O234" s="49"/>
      <c r="P234" s="48"/>
      <c r="Q234" s="48"/>
      <c r="R234" s="48"/>
      <c r="U234" s="361" t="s">
        <v>665</v>
      </c>
      <c r="V234" s="362">
        <v>3.4127621497638067E-2</v>
      </c>
    </row>
    <row r="235" spans="2:22" x14ac:dyDescent="0.2">
      <c r="B235" s="49"/>
      <c r="C235" s="49"/>
      <c r="D235" s="48"/>
      <c r="E235" s="44"/>
      <c r="F235" s="48"/>
      <c r="H235" s="48"/>
      <c r="I235" s="49"/>
      <c r="J235" s="48"/>
      <c r="K235" s="48"/>
      <c r="L235" s="48"/>
      <c r="N235" s="48"/>
      <c r="O235" s="49"/>
      <c r="P235" s="48"/>
      <c r="Q235" s="48"/>
      <c r="R235" s="48"/>
      <c r="U235" s="360" t="s">
        <v>665</v>
      </c>
      <c r="V235" s="362">
        <v>8.001352370226604E-2</v>
      </c>
    </row>
    <row r="236" spans="2:22" x14ac:dyDescent="0.2">
      <c r="B236" s="49"/>
      <c r="C236" s="49"/>
      <c r="D236" s="48"/>
      <c r="E236" s="44"/>
      <c r="F236" s="48"/>
      <c r="H236" s="48"/>
      <c r="I236" s="49"/>
      <c r="J236" s="48"/>
      <c r="K236" s="48"/>
      <c r="L236" s="48"/>
      <c r="N236" s="48"/>
      <c r="O236" s="49"/>
      <c r="P236" s="48"/>
      <c r="Q236" s="48"/>
      <c r="R236" s="48"/>
      <c r="U236" s="45" t="s">
        <v>106</v>
      </c>
      <c r="V236" s="362">
        <v>0.23140062203895398</v>
      </c>
    </row>
    <row r="237" spans="2:22" x14ac:dyDescent="0.2">
      <c r="B237" s="49"/>
      <c r="C237" s="49"/>
      <c r="D237" s="48"/>
      <c r="E237" s="44"/>
      <c r="F237" s="48"/>
      <c r="H237" s="48"/>
      <c r="I237" s="49"/>
      <c r="J237" s="48"/>
      <c r="K237" s="48"/>
      <c r="L237" s="48"/>
      <c r="N237" s="48"/>
      <c r="O237" s="49"/>
      <c r="P237" s="48"/>
      <c r="Q237" s="48"/>
      <c r="R237" s="48"/>
      <c r="U237" s="361" t="s">
        <v>106</v>
      </c>
      <c r="V237" s="362">
        <v>-0.15157717714269794</v>
      </c>
    </row>
    <row r="238" spans="2:22" x14ac:dyDescent="0.2">
      <c r="B238" s="49"/>
      <c r="C238" s="49"/>
      <c r="D238" s="48"/>
      <c r="E238" s="44"/>
      <c r="F238" s="48"/>
      <c r="H238" s="48"/>
      <c r="I238" s="49"/>
      <c r="J238" s="48"/>
      <c r="K238" s="48"/>
      <c r="L238" s="48"/>
      <c r="N238" s="48"/>
      <c r="O238" s="49"/>
      <c r="P238" s="48"/>
      <c r="Q238" s="48"/>
      <c r="R238" s="48"/>
      <c r="U238" s="360" t="s">
        <v>106</v>
      </c>
      <c r="V238" s="362">
        <v>-7.9706287255780439E-2</v>
      </c>
    </row>
    <row r="239" spans="2:22" x14ac:dyDescent="0.2">
      <c r="B239" s="49"/>
      <c r="C239" s="49"/>
      <c r="D239" s="48"/>
      <c r="E239" s="44"/>
      <c r="F239" s="48"/>
      <c r="H239" s="48"/>
      <c r="I239" s="49"/>
      <c r="J239" s="48"/>
      <c r="K239" s="48"/>
      <c r="L239" s="48"/>
      <c r="N239" s="48"/>
      <c r="O239" s="49"/>
      <c r="P239" s="48"/>
      <c r="Q239" s="48"/>
      <c r="R239" s="48"/>
      <c r="U239" s="45" t="s">
        <v>794</v>
      </c>
      <c r="V239" s="362">
        <v>2.4660571354726154E-2</v>
      </c>
    </row>
    <row r="240" spans="2:22" x14ac:dyDescent="0.2">
      <c r="B240" s="49"/>
      <c r="C240" s="49"/>
      <c r="D240" s="48"/>
      <c r="E240" s="44"/>
      <c r="F240" s="48"/>
      <c r="H240" s="48"/>
      <c r="I240" s="49"/>
      <c r="J240" s="48"/>
      <c r="K240" s="48"/>
      <c r="L240" s="48"/>
      <c r="N240" s="48"/>
      <c r="O240" s="49"/>
      <c r="P240" s="48"/>
      <c r="Q240" s="48"/>
      <c r="R240" s="48"/>
      <c r="U240" s="361" t="s">
        <v>794</v>
      </c>
      <c r="V240" s="362">
        <v>7.2693086083383193E-2</v>
      </c>
    </row>
    <row r="241" spans="2:22" x14ac:dyDescent="0.2">
      <c r="B241" s="49"/>
      <c r="C241" s="49"/>
      <c r="D241" s="48"/>
      <c r="E241" s="44"/>
      <c r="F241" s="48"/>
      <c r="H241" s="48"/>
      <c r="I241" s="49"/>
      <c r="J241" s="48"/>
      <c r="K241" s="48"/>
      <c r="L241" s="48"/>
      <c r="N241" s="48"/>
      <c r="O241" s="49"/>
      <c r="P241" s="48"/>
      <c r="Q241" s="48"/>
      <c r="R241" s="48"/>
      <c r="U241" s="360" t="s">
        <v>794</v>
      </c>
      <c r="V241" s="362">
        <v>-7.655755470965632E-2</v>
      </c>
    </row>
    <row r="242" spans="2:22" x14ac:dyDescent="0.2">
      <c r="B242" s="49"/>
      <c r="C242" s="49"/>
      <c r="D242" s="48"/>
      <c r="E242" s="44"/>
      <c r="F242" s="48"/>
      <c r="H242" s="48"/>
      <c r="I242" s="49"/>
      <c r="J242" s="48"/>
      <c r="K242" s="48"/>
      <c r="L242" s="48"/>
      <c r="N242" s="48"/>
      <c r="O242" s="49"/>
      <c r="P242" s="48"/>
      <c r="Q242" s="48"/>
      <c r="R242" s="48"/>
      <c r="U242" s="45" t="s">
        <v>475</v>
      </c>
      <c r="V242" s="362">
        <v>3.8890093230861421E-2</v>
      </c>
    </row>
    <row r="243" spans="2:22" x14ac:dyDescent="0.2">
      <c r="B243" s="49"/>
      <c r="C243" s="49"/>
      <c r="D243" s="48"/>
      <c r="E243" s="44"/>
      <c r="F243" s="48"/>
      <c r="H243" s="48"/>
      <c r="I243" s="49"/>
      <c r="J243" s="48"/>
      <c r="K243" s="48"/>
      <c r="L243" s="48"/>
      <c r="N243" s="48"/>
      <c r="O243" s="49"/>
      <c r="P243" s="48"/>
      <c r="Q243" s="48"/>
      <c r="R243" s="48"/>
      <c r="U243" s="361" t="s">
        <v>475</v>
      </c>
      <c r="V243" s="362">
        <v>0.23238465613299752</v>
      </c>
    </row>
    <row r="244" spans="2:22" x14ac:dyDescent="0.2">
      <c r="B244" s="49"/>
      <c r="C244" s="49"/>
      <c r="D244" s="48"/>
      <c r="E244" s="44"/>
      <c r="F244" s="48"/>
      <c r="H244" s="48"/>
      <c r="I244" s="49"/>
      <c r="J244" s="48"/>
      <c r="K244" s="48"/>
      <c r="L244" s="48"/>
      <c r="N244" s="48"/>
      <c r="O244" s="49"/>
      <c r="P244" s="48"/>
      <c r="Q244" s="48"/>
      <c r="R244" s="48"/>
      <c r="U244" s="360" t="s">
        <v>475</v>
      </c>
      <c r="V244" s="362">
        <v>0.11169688773734911</v>
      </c>
    </row>
    <row r="245" spans="2:22" x14ac:dyDescent="0.2">
      <c r="B245" s="49"/>
      <c r="C245" s="49"/>
      <c r="D245" s="48"/>
      <c r="E245" s="44"/>
      <c r="F245" s="48"/>
      <c r="H245" s="48"/>
      <c r="I245" s="49"/>
      <c r="J245" s="48"/>
      <c r="K245" s="48"/>
      <c r="L245" s="48"/>
      <c r="N245" s="48"/>
      <c r="O245" s="49"/>
      <c r="P245" s="48"/>
      <c r="Q245" s="48"/>
      <c r="R245" s="48"/>
      <c r="U245" s="45" t="s">
        <v>800</v>
      </c>
      <c r="V245" s="362">
        <v>0.15237991821991584</v>
      </c>
    </row>
    <row r="246" spans="2:22" x14ac:dyDescent="0.2">
      <c r="B246" s="49"/>
      <c r="C246" s="49"/>
      <c r="D246" s="48"/>
      <c r="E246" s="44"/>
      <c r="F246" s="48"/>
      <c r="H246" s="48"/>
      <c r="I246" s="49"/>
      <c r="J246" s="48"/>
      <c r="K246" s="48"/>
      <c r="L246" s="48"/>
      <c r="N246" s="48"/>
      <c r="O246" s="49"/>
      <c r="P246" s="48"/>
      <c r="Q246" s="48"/>
      <c r="R246" s="48"/>
      <c r="U246" s="361" t="s">
        <v>800</v>
      </c>
      <c r="V246" s="362">
        <v>0.16039698368011954</v>
      </c>
    </row>
    <row r="247" spans="2:22" x14ac:dyDescent="0.2">
      <c r="B247" s="49"/>
      <c r="C247" s="49"/>
      <c r="D247" s="48"/>
      <c r="E247" s="44"/>
      <c r="F247" s="48"/>
      <c r="H247" s="48"/>
      <c r="I247" s="49"/>
      <c r="J247" s="48"/>
      <c r="K247" s="48"/>
      <c r="L247" s="48"/>
      <c r="N247" s="48"/>
      <c r="O247" s="49"/>
      <c r="P247" s="48"/>
      <c r="Q247" s="48"/>
      <c r="R247" s="48"/>
      <c r="U247" s="360" t="s">
        <v>800</v>
      </c>
      <c r="V247" s="362">
        <v>0.14045794216336949</v>
      </c>
    </row>
    <row r="248" spans="2:22" x14ac:dyDescent="0.2">
      <c r="B248" s="49"/>
      <c r="C248" s="49"/>
      <c r="D248" s="48"/>
      <c r="E248" s="44"/>
      <c r="F248" s="48"/>
      <c r="H248" s="48"/>
      <c r="I248" s="49"/>
      <c r="J248" s="48"/>
      <c r="K248" s="48"/>
      <c r="L248" s="48"/>
      <c r="N248" s="48"/>
      <c r="O248" s="49"/>
      <c r="P248" s="48"/>
      <c r="Q248" s="48"/>
      <c r="R248" s="48"/>
      <c r="U248" s="45" t="s">
        <v>479</v>
      </c>
      <c r="V248" s="362">
        <v>0.1571355592678762</v>
      </c>
    </row>
    <row r="249" spans="2:22" x14ac:dyDescent="0.2">
      <c r="B249" s="49"/>
      <c r="C249" s="49"/>
      <c r="D249" s="48"/>
      <c r="E249" s="44"/>
      <c r="F249" s="48"/>
      <c r="H249" s="48"/>
      <c r="I249" s="49"/>
      <c r="J249" s="48"/>
      <c r="K249" s="48"/>
      <c r="L249" s="48"/>
      <c r="N249" s="48"/>
      <c r="O249" s="49"/>
      <c r="P249" s="48"/>
      <c r="Q249" s="48"/>
      <c r="R249" s="48"/>
      <c r="U249" s="361" t="s">
        <v>479</v>
      </c>
      <c r="V249" s="362">
        <v>0.35734434652233799</v>
      </c>
    </row>
    <row r="250" spans="2:22" x14ac:dyDescent="0.2">
      <c r="B250" s="49"/>
      <c r="C250" s="49"/>
      <c r="D250" s="48"/>
      <c r="E250" s="44"/>
      <c r="F250" s="48"/>
      <c r="H250" s="48"/>
      <c r="I250" s="49"/>
      <c r="J250" s="48"/>
      <c r="K250" s="48"/>
      <c r="L250" s="48"/>
      <c r="N250" s="48"/>
      <c r="O250" s="49"/>
      <c r="P250" s="48"/>
      <c r="Q250" s="48"/>
      <c r="R250" s="48"/>
      <c r="U250" s="360" t="s">
        <v>479</v>
      </c>
      <c r="V250" s="362">
        <v>0.11083082096473729</v>
      </c>
    </row>
    <row r="251" spans="2:22" x14ac:dyDescent="0.2">
      <c r="B251" s="49"/>
      <c r="C251" s="49"/>
      <c r="D251" s="48"/>
      <c r="E251" s="44"/>
      <c r="F251" s="48"/>
      <c r="H251" s="48"/>
      <c r="I251" s="49"/>
      <c r="J251" s="48"/>
      <c r="K251" s="48"/>
      <c r="L251" s="48"/>
      <c r="N251" s="48"/>
      <c r="O251" s="49"/>
      <c r="P251" s="48"/>
      <c r="Q251" s="48"/>
      <c r="R251" s="48"/>
      <c r="U251" s="45" t="s">
        <v>562</v>
      </c>
      <c r="V251" s="362">
        <v>0.18496378755651172</v>
      </c>
    </row>
    <row r="252" spans="2:22" x14ac:dyDescent="0.2">
      <c r="B252" s="49"/>
      <c r="C252" s="49"/>
      <c r="D252" s="48"/>
      <c r="E252" s="44"/>
      <c r="F252" s="48"/>
      <c r="H252" s="48"/>
      <c r="I252" s="49"/>
      <c r="J252" s="48"/>
      <c r="K252" s="48"/>
      <c r="L252" s="48"/>
      <c r="N252" s="48"/>
      <c r="O252" s="49"/>
      <c r="P252" s="48"/>
      <c r="Q252" s="48"/>
      <c r="R252" s="48"/>
      <c r="U252" s="361" t="s">
        <v>562</v>
      </c>
      <c r="V252" s="362">
        <v>0.13580002895456453</v>
      </c>
    </row>
    <row r="253" spans="2:22" x14ac:dyDescent="0.2">
      <c r="B253" s="49"/>
      <c r="C253" s="49"/>
      <c r="D253" s="48"/>
      <c r="E253" s="44"/>
      <c r="F253" s="48"/>
      <c r="H253" s="48"/>
      <c r="I253" s="49"/>
      <c r="J253" s="48"/>
      <c r="K253" s="48"/>
      <c r="L253" s="48"/>
      <c r="N253" s="48"/>
      <c r="O253" s="49"/>
      <c r="P253" s="48"/>
      <c r="Q253" s="48"/>
      <c r="R253" s="48"/>
      <c r="U253" s="360" t="s">
        <v>562</v>
      </c>
      <c r="V253" s="362">
        <v>2.9031094533002476E-2</v>
      </c>
    </row>
    <row r="254" spans="2:22" x14ac:dyDescent="0.2">
      <c r="B254" s="49"/>
      <c r="C254" s="49"/>
      <c r="D254" s="48"/>
      <c r="E254" s="44"/>
      <c r="F254" s="48"/>
      <c r="H254" s="48"/>
      <c r="I254" s="49"/>
      <c r="J254" s="48"/>
      <c r="K254" s="48"/>
      <c r="L254" s="48"/>
      <c r="N254" s="48"/>
      <c r="O254" s="49"/>
      <c r="P254" s="48"/>
      <c r="Q254" s="48"/>
      <c r="R254" s="48"/>
      <c r="U254" s="45" t="s">
        <v>292</v>
      </c>
      <c r="V254" s="362">
        <v>4.2558695926403399E-2</v>
      </c>
    </row>
    <row r="255" spans="2:22" x14ac:dyDescent="0.2">
      <c r="B255" s="49"/>
      <c r="C255" s="49"/>
      <c r="D255" s="48"/>
      <c r="E255" s="44"/>
      <c r="F255" s="48"/>
      <c r="H255" s="48"/>
      <c r="I255" s="49"/>
      <c r="J255" s="48"/>
      <c r="K255" s="48"/>
      <c r="L255" s="48"/>
      <c r="N255" s="48"/>
      <c r="O255" s="49"/>
      <c r="P255" s="48"/>
      <c r="Q255" s="48"/>
      <c r="R255" s="48"/>
      <c r="U255" s="361" t="s">
        <v>292</v>
      </c>
      <c r="V255" s="362">
        <v>0.21520865039348078</v>
      </c>
    </row>
    <row r="256" spans="2:22" x14ac:dyDescent="0.2">
      <c r="B256" s="49"/>
      <c r="C256" s="49"/>
      <c r="D256" s="48"/>
      <c r="E256" s="44"/>
      <c r="F256" s="48"/>
      <c r="H256" s="48"/>
      <c r="I256" s="49"/>
      <c r="J256" s="48"/>
      <c r="K256" s="48"/>
      <c r="L256" s="48"/>
      <c r="N256" s="48"/>
      <c r="O256" s="49"/>
      <c r="P256" s="48"/>
      <c r="Q256" s="48"/>
      <c r="R256" s="48"/>
      <c r="U256" s="360" t="s">
        <v>292</v>
      </c>
      <c r="V256" s="362">
        <v>-3.4413793103448276E-2</v>
      </c>
    </row>
    <row r="257" spans="2:22" x14ac:dyDescent="0.2">
      <c r="B257" s="49"/>
      <c r="C257" s="49"/>
      <c r="D257" s="48"/>
      <c r="E257" s="44"/>
      <c r="F257" s="48"/>
      <c r="H257" s="48"/>
      <c r="I257" s="49"/>
      <c r="J257" s="48"/>
      <c r="K257" s="48"/>
      <c r="L257" s="48"/>
      <c r="N257" s="48"/>
      <c r="O257" s="49"/>
      <c r="P257" s="48"/>
      <c r="Q257" s="48"/>
      <c r="R257" s="48"/>
      <c r="U257" s="45" t="s">
        <v>188</v>
      </c>
      <c r="V257" s="362">
        <v>6.7304445038688779E-2</v>
      </c>
    </row>
    <row r="258" spans="2:22" x14ac:dyDescent="0.2">
      <c r="B258" s="49"/>
      <c r="C258" s="49"/>
      <c r="D258" s="48"/>
      <c r="E258" s="44"/>
      <c r="F258" s="48"/>
      <c r="H258" s="48"/>
      <c r="I258" s="49"/>
      <c r="J258" s="48"/>
      <c r="K258" s="48"/>
      <c r="L258" s="48"/>
      <c r="N258" s="48"/>
      <c r="O258" s="49"/>
      <c r="P258" s="48"/>
      <c r="Q258" s="48"/>
      <c r="R258" s="48"/>
      <c r="U258" s="361" t="s">
        <v>188</v>
      </c>
      <c r="V258" s="362">
        <v>-0.31310377640327064</v>
      </c>
    </row>
    <row r="259" spans="2:22" x14ac:dyDescent="0.2">
      <c r="B259" s="49"/>
      <c r="C259" s="49"/>
      <c r="D259" s="48"/>
      <c r="E259" s="44"/>
      <c r="F259" s="48"/>
      <c r="H259" s="48"/>
      <c r="I259" s="49"/>
      <c r="J259" s="48"/>
      <c r="K259" s="48"/>
      <c r="L259" s="48"/>
      <c r="N259" s="48"/>
      <c r="O259" s="49"/>
      <c r="P259" s="48"/>
      <c r="Q259" s="48"/>
      <c r="R259" s="48"/>
      <c r="U259" s="360" t="s">
        <v>188</v>
      </c>
      <c r="V259" s="362">
        <v>6.9748567008053014E-2</v>
      </c>
    </row>
    <row r="260" spans="2:22" x14ac:dyDescent="0.2">
      <c r="B260" s="49"/>
      <c r="C260" s="49"/>
      <c r="D260" s="48"/>
      <c r="E260" s="44"/>
      <c r="F260" s="48"/>
      <c r="H260" s="48"/>
      <c r="I260" s="49"/>
      <c r="J260" s="48"/>
      <c r="K260" s="48"/>
      <c r="L260" s="48"/>
      <c r="N260" s="48"/>
      <c r="O260" s="49"/>
      <c r="P260" s="48"/>
      <c r="Q260" s="48"/>
      <c r="R260" s="48"/>
      <c r="U260" s="45" t="s">
        <v>654</v>
      </c>
      <c r="V260" s="362">
        <v>0.29640134343497093</v>
      </c>
    </row>
    <row r="261" spans="2:22" x14ac:dyDescent="0.2">
      <c r="B261" s="49"/>
      <c r="C261" s="49"/>
      <c r="D261" s="48"/>
      <c r="E261" s="44"/>
      <c r="F261" s="48"/>
      <c r="H261" s="48"/>
      <c r="I261" s="49"/>
      <c r="J261" s="48"/>
      <c r="K261" s="48"/>
      <c r="L261" s="48"/>
      <c r="N261" s="48"/>
      <c r="O261" s="49"/>
      <c r="P261" s="48"/>
      <c r="Q261" s="48"/>
      <c r="R261" s="48"/>
      <c r="U261" s="361" t="s">
        <v>654</v>
      </c>
      <c r="V261" s="362">
        <v>-0.33533585435204266</v>
      </c>
    </row>
    <row r="262" spans="2:22" x14ac:dyDescent="0.2">
      <c r="B262" s="49"/>
      <c r="C262" s="49"/>
      <c r="D262" s="48"/>
      <c r="E262" s="44"/>
      <c r="F262" s="48"/>
      <c r="H262" s="48"/>
      <c r="I262" s="49"/>
      <c r="J262" s="48"/>
      <c r="K262" s="48"/>
      <c r="L262" s="48"/>
      <c r="N262" s="48"/>
      <c r="O262" s="49"/>
      <c r="P262" s="48"/>
      <c r="Q262" s="48"/>
      <c r="R262" s="48"/>
      <c r="U262" s="360" t="s">
        <v>654</v>
      </c>
      <c r="V262" s="362">
        <v>0.11725467381208336</v>
      </c>
    </row>
    <row r="263" spans="2:22" x14ac:dyDescent="0.2">
      <c r="B263" s="49"/>
      <c r="C263" s="49"/>
      <c r="D263" s="48"/>
      <c r="E263" s="44"/>
      <c r="F263" s="48"/>
      <c r="H263" s="48"/>
      <c r="I263" s="49"/>
      <c r="J263" s="48"/>
      <c r="K263" s="48"/>
      <c r="L263" s="48"/>
      <c r="N263" s="48"/>
      <c r="O263" s="49"/>
      <c r="P263" s="48"/>
      <c r="Q263" s="48"/>
      <c r="R263" s="48"/>
      <c r="U263" s="45" t="s">
        <v>377</v>
      </c>
      <c r="V263" s="362">
        <v>0.57121959426252944</v>
      </c>
    </row>
    <row r="264" spans="2:22" x14ac:dyDescent="0.2">
      <c r="B264" s="49"/>
      <c r="C264" s="49"/>
      <c r="D264" s="48"/>
      <c r="E264" s="44"/>
      <c r="F264" s="48"/>
      <c r="H264" s="48"/>
      <c r="I264" s="49"/>
      <c r="J264" s="48"/>
      <c r="K264" s="48"/>
      <c r="L264" s="48"/>
      <c r="N264" s="48"/>
      <c r="O264" s="49"/>
      <c r="P264" s="48"/>
      <c r="Q264" s="48"/>
      <c r="R264" s="48"/>
      <c r="U264" s="361" t="s">
        <v>377</v>
      </c>
      <c r="V264" s="362">
        <v>0.40641557343255968</v>
      </c>
    </row>
    <row r="265" spans="2:22" x14ac:dyDescent="0.2">
      <c r="B265" s="49"/>
      <c r="C265" s="49"/>
      <c r="D265" s="48"/>
      <c r="E265" s="44"/>
      <c r="F265" s="48"/>
      <c r="H265" s="48"/>
      <c r="I265" s="49"/>
      <c r="J265" s="48"/>
      <c r="K265" s="48"/>
      <c r="L265" s="48"/>
      <c r="N265" s="48"/>
      <c r="O265" s="49"/>
      <c r="P265" s="48"/>
      <c r="Q265" s="48"/>
      <c r="R265" s="48"/>
      <c r="U265" s="360" t="s">
        <v>377</v>
      </c>
      <c r="V265" s="362">
        <v>0.13998936544940541</v>
      </c>
    </row>
    <row r="266" spans="2:22" x14ac:dyDescent="0.2">
      <c r="B266" s="49"/>
      <c r="C266" s="49"/>
      <c r="D266" s="48"/>
      <c r="E266" s="44"/>
      <c r="F266" s="48"/>
      <c r="H266" s="48"/>
      <c r="I266" s="49"/>
      <c r="J266" s="48"/>
      <c r="K266" s="48"/>
      <c r="L266" s="48"/>
      <c r="N266" s="48"/>
      <c r="O266" s="49"/>
      <c r="P266" s="48"/>
      <c r="Q266" s="48"/>
      <c r="R266" s="48"/>
      <c r="U266" s="45" t="s">
        <v>193</v>
      </c>
      <c r="V266" s="362">
        <v>7.4678728627988758E-2</v>
      </c>
    </row>
    <row r="267" spans="2:22" x14ac:dyDescent="0.2">
      <c r="B267" s="49"/>
      <c r="C267" s="49"/>
      <c r="D267" s="48"/>
      <c r="E267" s="44"/>
      <c r="F267" s="48"/>
      <c r="H267" s="48"/>
      <c r="I267" s="49"/>
      <c r="J267" s="48"/>
      <c r="K267" s="48"/>
      <c r="L267" s="48"/>
      <c r="N267" s="48"/>
      <c r="O267" s="49"/>
      <c r="P267" s="48"/>
      <c r="Q267" s="48"/>
      <c r="R267" s="48"/>
      <c r="U267" s="361" t="s">
        <v>193</v>
      </c>
      <c r="V267" s="362">
        <v>0.47149604937915873</v>
      </c>
    </row>
    <row r="268" spans="2:22" x14ac:dyDescent="0.2">
      <c r="B268" s="49"/>
      <c r="C268" s="49"/>
      <c r="D268" s="48"/>
      <c r="E268" s="44"/>
      <c r="F268" s="48"/>
      <c r="H268" s="48"/>
      <c r="I268" s="49"/>
      <c r="J268" s="48"/>
      <c r="K268" s="48"/>
      <c r="L268" s="48"/>
      <c r="N268" s="48"/>
      <c r="O268" s="49"/>
      <c r="P268" s="48"/>
      <c r="Q268" s="48"/>
      <c r="R268" s="48"/>
      <c r="U268" s="360" t="s">
        <v>193</v>
      </c>
      <c r="V268" s="362">
        <v>3.8213036194182558E-2</v>
      </c>
    </row>
    <row r="269" spans="2:22" x14ac:dyDescent="0.2">
      <c r="B269" s="49"/>
      <c r="C269" s="49"/>
      <c r="D269" s="48"/>
      <c r="E269" s="44"/>
      <c r="F269" s="48"/>
      <c r="H269" s="48"/>
      <c r="I269" s="49"/>
      <c r="J269" s="48"/>
      <c r="K269" s="48"/>
      <c r="L269" s="48"/>
      <c r="N269" s="48"/>
      <c r="O269" s="49"/>
      <c r="P269" s="48"/>
      <c r="Q269" s="48"/>
      <c r="R269" s="48"/>
      <c r="U269" s="45" t="s">
        <v>814</v>
      </c>
      <c r="V269" s="362">
        <v>4.7904424721957911E-2</v>
      </c>
    </row>
    <row r="270" spans="2:22" x14ac:dyDescent="0.2">
      <c r="B270" s="49"/>
      <c r="C270" s="49"/>
      <c r="D270" s="48"/>
      <c r="E270" s="44"/>
      <c r="F270" s="48"/>
      <c r="H270" s="48"/>
      <c r="I270" s="49"/>
      <c r="J270" s="48"/>
      <c r="K270" s="48"/>
      <c r="L270" s="48"/>
      <c r="N270" s="48"/>
      <c r="O270" s="49"/>
      <c r="P270" s="48"/>
      <c r="Q270" s="48"/>
      <c r="R270" s="48"/>
      <c r="U270" s="361" t="s">
        <v>814</v>
      </c>
      <c r="V270" s="362">
        <v>5.5470922709447153E-2</v>
      </c>
    </row>
    <row r="271" spans="2:22" x14ac:dyDescent="0.2">
      <c r="B271" s="49"/>
      <c r="C271" s="49"/>
      <c r="D271" s="48"/>
      <c r="E271" s="44"/>
      <c r="F271" s="48"/>
      <c r="H271" s="48"/>
      <c r="I271" s="49"/>
      <c r="J271" s="48"/>
      <c r="K271" s="48"/>
      <c r="L271" s="48"/>
      <c r="N271" s="48"/>
      <c r="O271" s="49"/>
      <c r="P271" s="48"/>
      <c r="Q271" s="48"/>
      <c r="R271" s="48"/>
      <c r="U271" s="360" t="s">
        <v>814</v>
      </c>
      <c r="V271" s="362">
        <v>0.1221751217942733</v>
      </c>
    </row>
    <row r="272" spans="2:22" x14ac:dyDescent="0.2">
      <c r="B272" s="49"/>
      <c r="C272" s="49"/>
      <c r="D272" s="48"/>
      <c r="E272" s="44"/>
      <c r="F272" s="48"/>
      <c r="H272" s="48"/>
      <c r="I272" s="49"/>
      <c r="J272" s="48"/>
      <c r="K272" s="48"/>
      <c r="L272" s="48"/>
      <c r="N272" s="48"/>
      <c r="O272" s="49"/>
      <c r="P272" s="48"/>
      <c r="Q272" s="48"/>
      <c r="R272" s="48"/>
      <c r="U272" s="45" t="s">
        <v>818</v>
      </c>
      <c r="V272" s="362">
        <v>-3.1277359220719066E-2</v>
      </c>
    </row>
    <row r="273" spans="2:22" x14ac:dyDescent="0.2">
      <c r="B273" s="49"/>
      <c r="C273" s="49"/>
      <c r="D273" s="48"/>
      <c r="E273" s="44"/>
      <c r="F273" s="48"/>
      <c r="H273" s="48"/>
      <c r="I273" s="49"/>
      <c r="J273" s="48"/>
      <c r="K273" s="48"/>
      <c r="L273" s="48"/>
      <c r="N273" s="48"/>
      <c r="O273" s="49"/>
      <c r="P273" s="48"/>
      <c r="Q273" s="48"/>
      <c r="R273" s="48"/>
      <c r="U273" s="361" t="s">
        <v>818</v>
      </c>
      <c r="V273" s="362">
        <v>-1.1966987372379622E-2</v>
      </c>
    </row>
    <row r="274" spans="2:22" x14ac:dyDescent="0.2">
      <c r="B274" s="49"/>
      <c r="C274" s="49"/>
      <c r="D274" s="48"/>
      <c r="E274" s="44"/>
      <c r="F274" s="48"/>
      <c r="H274" s="48"/>
      <c r="I274" s="49"/>
      <c r="J274" s="48"/>
      <c r="K274" s="48"/>
      <c r="L274" s="48"/>
      <c r="N274" s="48"/>
      <c r="O274" s="49"/>
      <c r="P274" s="48"/>
      <c r="Q274" s="48"/>
      <c r="R274" s="48"/>
      <c r="U274" s="360" t="s">
        <v>818</v>
      </c>
      <c r="V274" s="362">
        <v>5.8173596454166886E-2</v>
      </c>
    </row>
    <row r="275" spans="2:22" x14ac:dyDescent="0.2">
      <c r="B275" s="49"/>
      <c r="C275" s="49"/>
      <c r="D275" s="48"/>
      <c r="E275" s="44"/>
      <c r="F275" s="48"/>
      <c r="H275" s="48"/>
      <c r="I275" s="49"/>
      <c r="J275" s="48"/>
      <c r="K275" s="48"/>
      <c r="L275" s="48"/>
      <c r="N275" s="48"/>
      <c r="O275" s="49"/>
      <c r="P275" s="48"/>
      <c r="Q275" s="48"/>
      <c r="R275" s="48"/>
      <c r="U275" s="45" t="s">
        <v>196</v>
      </c>
      <c r="V275" s="362">
        <v>9.2147676957124404E-4</v>
      </c>
    </row>
    <row r="276" spans="2:22" x14ac:dyDescent="0.2">
      <c r="B276" s="49"/>
      <c r="C276" s="49"/>
      <c r="D276" s="48"/>
      <c r="E276" s="44"/>
      <c r="F276" s="48"/>
      <c r="H276" s="48"/>
      <c r="I276" s="49"/>
      <c r="J276" s="48"/>
      <c r="K276" s="48"/>
      <c r="L276" s="48"/>
      <c r="N276" s="48"/>
      <c r="O276" s="49"/>
      <c r="P276" s="48"/>
      <c r="Q276" s="48"/>
      <c r="R276" s="48"/>
      <c r="U276" s="361" t="s">
        <v>196</v>
      </c>
      <c r="V276" s="362">
        <v>-0.12796241494287669</v>
      </c>
    </row>
    <row r="277" spans="2:22" x14ac:dyDescent="0.2">
      <c r="B277" s="49"/>
      <c r="C277" s="49"/>
      <c r="D277" s="48"/>
      <c r="E277" s="44"/>
      <c r="F277" s="48"/>
      <c r="H277" s="48"/>
      <c r="I277" s="49"/>
      <c r="J277" s="48"/>
      <c r="K277" s="48"/>
      <c r="L277" s="48"/>
      <c r="N277" s="48"/>
      <c r="O277" s="49"/>
      <c r="P277" s="48"/>
      <c r="Q277" s="48"/>
      <c r="R277" s="48"/>
      <c r="U277" s="360" t="s">
        <v>196</v>
      </c>
      <c r="V277" s="362">
        <v>1.5476539706873483E-2</v>
      </c>
    </row>
    <row r="278" spans="2:22" x14ac:dyDescent="0.2">
      <c r="B278" s="49"/>
      <c r="C278" s="49"/>
      <c r="D278" s="48"/>
      <c r="E278" s="44"/>
      <c r="F278" s="48"/>
      <c r="H278" s="48"/>
      <c r="I278" s="49"/>
      <c r="J278" s="48"/>
      <c r="K278" s="48"/>
      <c r="L278" s="48"/>
      <c r="N278" s="48"/>
      <c r="O278" s="49"/>
      <c r="P278" s="48"/>
      <c r="Q278" s="48"/>
      <c r="R278" s="48"/>
      <c r="U278" s="45" t="s">
        <v>381</v>
      </c>
      <c r="V278" s="362">
        <v>-9.1783050832969643E-3</v>
      </c>
    </row>
    <row r="279" spans="2:22" x14ac:dyDescent="0.2">
      <c r="B279" s="49"/>
      <c r="C279" s="49"/>
      <c r="D279" s="48"/>
      <c r="E279" s="44"/>
      <c r="F279" s="48"/>
      <c r="H279" s="48"/>
      <c r="I279" s="49"/>
      <c r="J279" s="48"/>
      <c r="K279" s="48"/>
      <c r="L279" s="48"/>
      <c r="N279" s="48"/>
      <c r="O279" s="49"/>
      <c r="P279" s="48"/>
      <c r="Q279" s="48"/>
      <c r="R279" s="48"/>
      <c r="U279" s="361" t="s">
        <v>381</v>
      </c>
      <c r="V279" s="362">
        <v>0.37001080321368746</v>
      </c>
    </row>
    <row r="280" spans="2:22" x14ac:dyDescent="0.2">
      <c r="B280" s="49"/>
      <c r="C280" s="49"/>
      <c r="D280" s="48"/>
      <c r="E280" s="44"/>
      <c r="F280" s="48"/>
      <c r="H280" s="48"/>
      <c r="I280" s="49"/>
      <c r="J280" s="48"/>
      <c r="K280" s="48"/>
      <c r="L280" s="48"/>
      <c r="N280" s="48"/>
      <c r="O280" s="49"/>
      <c r="P280" s="48"/>
      <c r="Q280" s="48"/>
      <c r="R280" s="48"/>
      <c r="U280" s="360" t="s">
        <v>381</v>
      </c>
      <c r="V280" s="362">
        <v>1.9008475359505356E-2</v>
      </c>
    </row>
    <row r="281" spans="2:22" x14ac:dyDescent="0.2">
      <c r="B281" s="49"/>
      <c r="C281" s="49"/>
      <c r="D281" s="48"/>
      <c r="E281" s="44"/>
      <c r="F281" s="48"/>
      <c r="H281" s="48"/>
      <c r="I281" s="49"/>
      <c r="J281" s="48"/>
      <c r="K281" s="48"/>
      <c r="L281" s="48"/>
      <c r="N281" s="48"/>
      <c r="O281" s="49"/>
      <c r="P281" s="48"/>
      <c r="Q281" s="48"/>
      <c r="R281" s="48"/>
      <c r="U281" s="45" t="s">
        <v>199</v>
      </c>
      <c r="V281" s="362">
        <v>0.13453511952011987</v>
      </c>
    </row>
    <row r="282" spans="2:22" x14ac:dyDescent="0.2">
      <c r="B282" s="49"/>
      <c r="C282" s="49"/>
      <c r="D282" s="48"/>
      <c r="E282" s="44"/>
      <c r="F282" s="48"/>
      <c r="H282" s="48"/>
      <c r="I282" s="49"/>
      <c r="J282" s="48"/>
      <c r="K282" s="48"/>
      <c r="L282" s="48"/>
      <c r="N282" s="48"/>
      <c r="O282" s="49"/>
      <c r="P282" s="48"/>
      <c r="Q282" s="48"/>
      <c r="R282" s="48"/>
      <c r="U282" s="361" t="s">
        <v>199</v>
      </c>
      <c r="V282" s="362">
        <v>0.15573174629603467</v>
      </c>
    </row>
    <row r="283" spans="2:22" x14ac:dyDescent="0.2">
      <c r="B283" s="49"/>
      <c r="C283" s="49"/>
      <c r="D283" s="48"/>
      <c r="E283" s="44"/>
      <c r="F283" s="48"/>
      <c r="H283" s="48"/>
      <c r="I283" s="49"/>
      <c r="J283" s="48"/>
      <c r="K283" s="48"/>
      <c r="L283" s="48"/>
      <c r="N283" s="48"/>
      <c r="O283" s="49"/>
      <c r="P283" s="48"/>
      <c r="Q283" s="48"/>
      <c r="R283" s="48"/>
      <c r="U283" s="360" t="s">
        <v>199</v>
      </c>
      <c r="V283" s="362">
        <v>4.014567182487741E-2</v>
      </c>
    </row>
    <row r="284" spans="2:22" x14ac:dyDescent="0.2">
      <c r="B284" s="49"/>
      <c r="C284" s="49"/>
      <c r="D284" s="48"/>
      <c r="E284" s="44"/>
      <c r="F284" s="48"/>
      <c r="H284" s="48"/>
      <c r="I284" s="49"/>
      <c r="J284" s="48"/>
      <c r="K284" s="48"/>
      <c r="L284" s="48"/>
      <c r="N284" s="48"/>
      <c r="O284" s="49"/>
      <c r="P284" s="48"/>
      <c r="Q284" s="48"/>
      <c r="R284" s="48"/>
      <c r="U284" s="45" t="s">
        <v>568</v>
      </c>
      <c r="V284" s="362">
        <v>0.10410795268672993</v>
      </c>
    </row>
    <row r="285" spans="2:22" x14ac:dyDescent="0.2">
      <c r="B285" s="49"/>
      <c r="C285" s="49"/>
      <c r="D285" s="48"/>
      <c r="E285" s="44"/>
      <c r="F285" s="48"/>
      <c r="H285" s="48"/>
      <c r="I285" s="49"/>
      <c r="J285" s="48"/>
      <c r="K285" s="48"/>
      <c r="L285" s="48"/>
      <c r="N285" s="48"/>
      <c r="O285" s="49"/>
      <c r="P285" s="48"/>
      <c r="Q285" s="48"/>
      <c r="R285" s="48"/>
      <c r="U285" s="361" t="s">
        <v>568</v>
      </c>
      <c r="V285" s="362">
        <v>0.18924548715567033</v>
      </c>
    </row>
    <row r="286" spans="2:22" x14ac:dyDescent="0.2">
      <c r="B286" s="49"/>
      <c r="C286" s="49"/>
      <c r="D286" s="48"/>
      <c r="E286" s="44"/>
      <c r="F286" s="48"/>
      <c r="H286" s="48"/>
      <c r="I286" s="49"/>
      <c r="J286" s="48"/>
      <c r="K286" s="48"/>
      <c r="L286" s="48"/>
      <c r="N286" s="48"/>
      <c r="O286" s="49"/>
      <c r="P286" s="48"/>
      <c r="Q286" s="48"/>
      <c r="R286" s="48"/>
      <c r="U286" s="360" t="s">
        <v>568</v>
      </c>
      <c r="V286" s="362">
        <v>5.0363619091298391E-2</v>
      </c>
    </row>
    <row r="287" spans="2:22" x14ac:dyDescent="0.2">
      <c r="B287" s="49"/>
      <c r="C287" s="49"/>
      <c r="D287" s="48"/>
      <c r="E287" s="44"/>
      <c r="F287" s="48"/>
      <c r="H287" s="48"/>
      <c r="I287" s="49"/>
      <c r="J287" s="48"/>
      <c r="K287" s="48"/>
      <c r="L287" s="48"/>
      <c r="N287" s="48"/>
      <c r="O287" s="49"/>
      <c r="P287" s="48"/>
      <c r="Q287" s="48"/>
      <c r="R287" s="48"/>
      <c r="U287" s="45" t="s">
        <v>675</v>
      </c>
      <c r="V287" s="362">
        <v>-0.50370394530594664</v>
      </c>
    </row>
    <row r="288" spans="2:22" x14ac:dyDescent="0.2">
      <c r="B288" s="49"/>
      <c r="C288" s="49"/>
      <c r="D288" s="48"/>
      <c r="E288" s="44"/>
      <c r="F288" s="48"/>
      <c r="H288" s="48"/>
      <c r="I288" s="49"/>
      <c r="J288" s="48"/>
      <c r="K288" s="48"/>
      <c r="L288" s="48"/>
      <c r="N288" s="48"/>
      <c r="O288" s="49"/>
      <c r="P288" s="48"/>
      <c r="Q288" s="48"/>
      <c r="R288" s="48"/>
      <c r="U288" s="361" t="s">
        <v>675</v>
      </c>
      <c r="V288" s="362">
        <v>-0.43070939559462451</v>
      </c>
    </row>
    <row r="289" spans="2:22" x14ac:dyDescent="0.2">
      <c r="B289" s="49"/>
      <c r="C289" s="49"/>
      <c r="D289" s="48"/>
      <c r="E289" s="44"/>
      <c r="F289" s="48"/>
      <c r="H289" s="48"/>
      <c r="I289" s="49"/>
      <c r="J289" s="48"/>
      <c r="K289" s="48"/>
      <c r="L289" s="48"/>
      <c r="N289" s="48"/>
      <c r="O289" s="49"/>
      <c r="P289" s="48"/>
      <c r="Q289" s="48"/>
      <c r="R289" s="48"/>
      <c r="U289" s="360" t="s">
        <v>675</v>
      </c>
      <c r="V289" s="362">
        <v>0.69439496486599106</v>
      </c>
    </row>
    <row r="290" spans="2:22" x14ac:dyDescent="0.2">
      <c r="B290" s="49"/>
      <c r="C290" s="49"/>
      <c r="D290" s="48"/>
      <c r="E290" s="44"/>
      <c r="F290" s="48"/>
      <c r="H290" s="48"/>
      <c r="I290" s="49"/>
      <c r="J290" s="48"/>
      <c r="K290" s="48"/>
      <c r="L290" s="48"/>
      <c r="N290" s="48"/>
      <c r="O290" s="49"/>
      <c r="P290" s="48"/>
      <c r="Q290" s="48"/>
      <c r="R290" s="48"/>
      <c r="U290" s="45" t="s">
        <v>301</v>
      </c>
      <c r="V290" s="362">
        <v>1.3430688892145479E-2</v>
      </c>
    </row>
    <row r="291" spans="2:22" x14ac:dyDescent="0.2">
      <c r="B291" s="49"/>
      <c r="C291" s="49"/>
      <c r="D291" s="48"/>
      <c r="E291" s="44"/>
      <c r="F291" s="48"/>
      <c r="H291" s="48"/>
      <c r="I291" s="49"/>
      <c r="J291" s="48"/>
      <c r="K291" s="48"/>
      <c r="L291" s="48"/>
      <c r="N291" s="48"/>
      <c r="O291" s="49"/>
      <c r="P291" s="48"/>
      <c r="Q291" s="48"/>
      <c r="R291" s="48"/>
      <c r="U291" s="361" t="s">
        <v>301</v>
      </c>
      <c r="V291" s="362">
        <v>0.3927215652972777</v>
      </c>
    </row>
    <row r="292" spans="2:22" x14ac:dyDescent="0.2">
      <c r="B292" s="49"/>
      <c r="C292" s="49"/>
      <c r="D292" s="48"/>
      <c r="E292" s="44"/>
      <c r="F292" s="48"/>
      <c r="H292" s="48"/>
      <c r="I292" s="49"/>
      <c r="J292" s="48"/>
      <c r="K292" s="48"/>
      <c r="L292" s="48"/>
      <c r="N292" s="48"/>
      <c r="O292" s="49"/>
      <c r="P292" s="48"/>
      <c r="Q292" s="48"/>
      <c r="R292" s="48"/>
      <c r="U292" s="360" t="s">
        <v>301</v>
      </c>
      <c r="V292" s="362">
        <v>-3.9790029606677366E-2</v>
      </c>
    </row>
    <row r="293" spans="2:22" x14ac:dyDescent="0.2">
      <c r="B293" s="49"/>
      <c r="C293" s="49"/>
      <c r="D293" s="48"/>
      <c r="E293" s="44"/>
      <c r="F293" s="48"/>
      <c r="H293" s="48"/>
      <c r="I293" s="49"/>
      <c r="J293" s="48"/>
      <c r="K293" s="48"/>
      <c r="L293" s="48"/>
      <c r="N293" s="48"/>
      <c r="O293" s="49"/>
      <c r="P293" s="48"/>
      <c r="Q293" s="48"/>
      <c r="R293" s="48"/>
      <c r="U293" s="45" t="s">
        <v>384</v>
      </c>
      <c r="V293" s="362">
        <v>0.38496418168488516</v>
      </c>
    </row>
    <row r="294" spans="2:22" x14ac:dyDescent="0.2">
      <c r="B294" s="49"/>
      <c r="C294" s="49"/>
      <c r="D294" s="48"/>
      <c r="E294" s="44"/>
      <c r="F294" s="48"/>
      <c r="H294" s="48"/>
      <c r="I294" s="49"/>
      <c r="J294" s="48"/>
      <c r="K294" s="48"/>
      <c r="L294" s="48"/>
      <c r="N294" s="48"/>
      <c r="O294" s="49"/>
      <c r="P294" s="48"/>
      <c r="Q294" s="48"/>
      <c r="R294" s="48"/>
      <c r="U294" s="361" t="s">
        <v>384</v>
      </c>
      <c r="V294" s="362">
        <v>8.7101863640495644E-2</v>
      </c>
    </row>
    <row r="295" spans="2:22" x14ac:dyDescent="0.2">
      <c r="B295" s="49"/>
      <c r="C295" s="49"/>
      <c r="D295" s="48"/>
      <c r="E295" s="44"/>
      <c r="F295" s="48"/>
      <c r="H295" s="48"/>
      <c r="I295" s="49"/>
      <c r="J295" s="48"/>
      <c r="K295" s="48"/>
      <c r="L295" s="48"/>
      <c r="N295" s="48"/>
      <c r="O295" s="49"/>
      <c r="P295" s="48"/>
      <c r="Q295" s="48"/>
      <c r="R295" s="48"/>
      <c r="U295" s="360" t="s">
        <v>384</v>
      </c>
      <c r="V295" s="362">
        <v>2.9317862957671879E-2</v>
      </c>
    </row>
    <row r="296" spans="2:22" x14ac:dyDescent="0.2">
      <c r="B296" s="49"/>
      <c r="C296" s="49"/>
      <c r="D296" s="48"/>
      <c r="E296" s="44"/>
      <c r="F296" s="48"/>
      <c r="H296" s="48"/>
      <c r="I296" s="49"/>
      <c r="J296" s="48"/>
      <c r="K296" s="48"/>
      <c r="L296" s="48"/>
      <c r="N296" s="48"/>
      <c r="O296" s="49"/>
      <c r="P296" s="48"/>
      <c r="Q296" s="48"/>
      <c r="R296" s="48"/>
      <c r="U296" s="45" t="s">
        <v>297</v>
      </c>
      <c r="V296" s="362">
        <v>5.0757287747197427E-2</v>
      </c>
    </row>
    <row r="297" spans="2:22" x14ac:dyDescent="0.2">
      <c r="B297" s="49"/>
      <c r="C297" s="49"/>
      <c r="D297" s="48"/>
      <c r="E297" s="44"/>
      <c r="F297" s="48"/>
      <c r="H297" s="48"/>
      <c r="I297" s="49"/>
      <c r="J297" s="48"/>
      <c r="K297" s="48"/>
      <c r="L297" s="48"/>
      <c r="N297" s="48"/>
      <c r="O297" s="49"/>
      <c r="P297" s="48"/>
      <c r="Q297" s="48"/>
      <c r="R297" s="48"/>
      <c r="U297" s="361" t="s">
        <v>297</v>
      </c>
      <c r="V297" s="362">
        <v>0.18650877961133919</v>
      </c>
    </row>
    <row r="298" spans="2:22" x14ac:dyDescent="0.2">
      <c r="B298" s="49"/>
      <c r="C298" s="49"/>
      <c r="D298" s="48"/>
      <c r="E298" s="44"/>
      <c r="F298" s="48"/>
      <c r="H298" s="48"/>
      <c r="I298" s="49"/>
      <c r="J298" s="48"/>
      <c r="K298" s="48"/>
      <c r="L298" s="48"/>
      <c r="N298" s="48"/>
      <c r="O298" s="49"/>
      <c r="P298" s="48"/>
      <c r="Q298" s="48"/>
      <c r="R298" s="48"/>
      <c r="U298" s="360" t="s">
        <v>297</v>
      </c>
      <c r="V298" s="362">
        <v>2.469086047022053E-3</v>
      </c>
    </row>
    <row r="299" spans="2:22" x14ac:dyDescent="0.2">
      <c r="B299" s="49"/>
      <c r="C299" s="49"/>
      <c r="D299" s="48"/>
      <c r="E299" s="44"/>
      <c r="F299" s="48"/>
      <c r="H299" s="48"/>
      <c r="I299" s="49"/>
      <c r="J299" s="48"/>
      <c r="K299" s="48"/>
      <c r="L299" s="48"/>
      <c r="N299" s="48"/>
      <c r="O299" s="49"/>
      <c r="P299" s="48"/>
      <c r="Q299" s="48"/>
      <c r="R299" s="48"/>
      <c r="U299" s="45" t="s">
        <v>387</v>
      </c>
      <c r="V299" s="362">
        <v>0.24311413721530697</v>
      </c>
    </row>
    <row r="300" spans="2:22" x14ac:dyDescent="0.2">
      <c r="B300" s="49"/>
      <c r="C300" s="49"/>
      <c r="D300" s="48"/>
      <c r="E300" s="44"/>
      <c r="F300" s="48"/>
      <c r="H300" s="48"/>
      <c r="I300" s="49"/>
      <c r="J300" s="48"/>
      <c r="K300" s="48"/>
      <c r="L300" s="48"/>
      <c r="N300" s="48"/>
      <c r="O300" s="49"/>
      <c r="P300" s="48"/>
      <c r="Q300" s="48"/>
      <c r="R300" s="48"/>
      <c r="U300" s="361" t="s">
        <v>387</v>
      </c>
      <c r="V300" s="362">
        <v>0.91519394297885481</v>
      </c>
    </row>
    <row r="301" spans="2:22" x14ac:dyDescent="0.2">
      <c r="B301" s="49"/>
      <c r="C301" s="49"/>
      <c r="D301" s="48"/>
      <c r="E301" s="44"/>
      <c r="F301" s="48"/>
      <c r="H301" s="48"/>
      <c r="I301" s="49"/>
      <c r="J301" s="48"/>
      <c r="K301" s="48"/>
      <c r="L301" s="48"/>
      <c r="N301" s="48"/>
      <c r="O301" s="49"/>
      <c r="P301" s="48"/>
      <c r="Q301" s="48"/>
      <c r="R301" s="48"/>
      <c r="U301" s="360" t="s">
        <v>387</v>
      </c>
      <c r="V301" s="362">
        <v>-1.2232399053553255E-2</v>
      </c>
    </row>
    <row r="302" spans="2:22" x14ac:dyDescent="0.2">
      <c r="B302" s="49"/>
      <c r="C302" s="49"/>
      <c r="D302" s="48"/>
      <c r="E302" s="44"/>
      <c r="F302" s="48"/>
      <c r="H302" s="48"/>
      <c r="I302" s="49"/>
      <c r="J302" s="48"/>
      <c r="K302" s="48"/>
      <c r="L302" s="48"/>
      <c r="N302" s="48"/>
      <c r="O302" s="49"/>
      <c r="P302" s="48"/>
      <c r="Q302" s="48"/>
      <c r="R302" s="48"/>
      <c r="U302" s="45" t="s">
        <v>574</v>
      </c>
      <c r="V302" s="362">
        <v>2.2256371006014759E-3</v>
      </c>
    </row>
    <row r="303" spans="2:22" x14ac:dyDescent="0.2">
      <c r="B303" s="49"/>
      <c r="C303" s="49"/>
      <c r="D303" s="48"/>
      <c r="E303" s="44"/>
      <c r="F303" s="48"/>
      <c r="H303" s="48"/>
      <c r="I303" s="49"/>
      <c r="J303" s="48"/>
      <c r="K303" s="48"/>
      <c r="L303" s="48"/>
      <c r="N303" s="48"/>
      <c r="O303" s="49"/>
      <c r="P303" s="48"/>
      <c r="Q303" s="48"/>
      <c r="R303" s="48"/>
      <c r="U303" s="361" t="s">
        <v>574</v>
      </c>
      <c r="V303" s="362">
        <v>3.7850753411061517</v>
      </c>
    </row>
    <row r="304" spans="2:22" x14ac:dyDescent="0.2">
      <c r="B304" s="49"/>
      <c r="C304" s="49"/>
      <c r="D304" s="48"/>
      <c r="E304" s="44"/>
      <c r="F304" s="48"/>
      <c r="H304" s="48"/>
      <c r="I304" s="49"/>
      <c r="J304" s="48"/>
      <c r="K304" s="48"/>
      <c r="L304" s="48"/>
      <c r="N304" s="48"/>
      <c r="O304" s="49"/>
      <c r="P304" s="48"/>
      <c r="Q304" s="48"/>
      <c r="R304" s="48"/>
      <c r="U304" s="360" t="s">
        <v>574</v>
      </c>
      <c r="V304" s="362">
        <v>-0.17110985805269927</v>
      </c>
    </row>
    <row r="305" spans="2:22" x14ac:dyDescent="0.2">
      <c r="B305" s="49"/>
      <c r="C305" s="49"/>
      <c r="D305" s="48"/>
      <c r="E305" s="44"/>
      <c r="F305" s="48"/>
      <c r="H305" s="48"/>
      <c r="I305" s="49"/>
      <c r="J305" s="48"/>
      <c r="K305" s="48"/>
      <c r="L305" s="48"/>
      <c r="N305" s="48"/>
      <c r="O305" s="49"/>
      <c r="P305" s="48"/>
      <c r="Q305" s="48"/>
      <c r="R305" s="48"/>
      <c r="U305" s="45" t="s">
        <v>691</v>
      </c>
      <c r="V305" s="362">
        <v>0.18103982455543666</v>
      </c>
    </row>
    <row r="306" spans="2:22" x14ac:dyDescent="0.2">
      <c r="B306" s="49"/>
      <c r="C306" s="49"/>
      <c r="D306" s="48"/>
      <c r="E306" s="44"/>
      <c r="F306" s="48"/>
      <c r="H306" s="48"/>
      <c r="I306" s="49"/>
      <c r="J306" s="48"/>
      <c r="K306" s="48"/>
      <c r="L306" s="48"/>
      <c r="N306" s="48"/>
      <c r="O306" s="49"/>
      <c r="P306" s="48"/>
      <c r="Q306" s="48"/>
      <c r="R306" s="48"/>
      <c r="U306" s="361" t="s">
        <v>691</v>
      </c>
      <c r="V306" s="362">
        <v>0.23841221630211168</v>
      </c>
    </row>
    <row r="307" spans="2:22" x14ac:dyDescent="0.2">
      <c r="B307" s="49"/>
      <c r="C307" s="49"/>
      <c r="D307" s="48"/>
      <c r="E307" s="44"/>
      <c r="F307" s="48"/>
      <c r="H307" s="48"/>
      <c r="I307" s="49"/>
      <c r="J307" s="48"/>
      <c r="K307" s="48"/>
      <c r="L307" s="48"/>
      <c r="N307" s="48"/>
      <c r="O307" s="49"/>
      <c r="P307" s="48"/>
      <c r="Q307" s="48"/>
      <c r="R307" s="48"/>
      <c r="U307" s="360" t="s">
        <v>691</v>
      </c>
      <c r="V307" s="362">
        <v>1.7135784561954175E-2</v>
      </c>
    </row>
    <row r="308" spans="2:22" x14ac:dyDescent="0.2">
      <c r="B308" s="49"/>
      <c r="C308" s="49"/>
      <c r="D308" s="48"/>
      <c r="E308" s="44"/>
      <c r="F308" s="48"/>
      <c r="H308" s="48"/>
      <c r="I308" s="49"/>
      <c r="J308" s="48"/>
      <c r="K308" s="48"/>
      <c r="L308" s="48"/>
      <c r="N308" s="48"/>
      <c r="O308" s="49"/>
      <c r="P308" s="48"/>
      <c r="Q308" s="48"/>
      <c r="R308" s="48"/>
      <c r="U308" s="45" t="s">
        <v>578</v>
      </c>
      <c r="V308" s="362">
        <v>0.31019823781406464</v>
      </c>
    </row>
    <row r="309" spans="2:22" x14ac:dyDescent="0.2">
      <c r="B309" s="49"/>
      <c r="C309" s="49"/>
      <c r="D309" s="48"/>
      <c r="E309" s="44"/>
      <c r="F309" s="48"/>
      <c r="H309" s="48"/>
      <c r="I309" s="49"/>
      <c r="J309" s="48"/>
      <c r="K309" s="48"/>
      <c r="L309" s="48"/>
      <c r="N309" s="48"/>
      <c r="O309" s="49"/>
      <c r="P309" s="48"/>
      <c r="Q309" s="48"/>
      <c r="R309" s="48"/>
      <c r="U309" s="361" t="s">
        <v>578</v>
      </c>
      <c r="V309" s="362">
        <v>0.3170619950591545</v>
      </c>
    </row>
    <row r="310" spans="2:22" x14ac:dyDescent="0.2">
      <c r="B310" s="49"/>
      <c r="C310" s="49"/>
      <c r="D310" s="48"/>
      <c r="E310" s="44"/>
      <c r="F310" s="48"/>
      <c r="H310" s="48"/>
      <c r="I310" s="49"/>
      <c r="J310" s="48"/>
      <c r="K310" s="48"/>
      <c r="L310" s="48"/>
      <c r="N310" s="48"/>
      <c r="O310" s="49"/>
      <c r="P310" s="48"/>
      <c r="Q310" s="48"/>
      <c r="R310" s="48"/>
      <c r="U310" s="360" t="s">
        <v>578</v>
      </c>
      <c r="V310" s="362">
        <v>2.0615900232313782E-2</v>
      </c>
    </row>
    <row r="311" spans="2:22" x14ac:dyDescent="0.2">
      <c r="B311" s="49"/>
      <c r="C311" s="49"/>
      <c r="D311" s="48"/>
      <c r="E311" s="44"/>
      <c r="F311" s="48"/>
      <c r="H311" s="48"/>
      <c r="I311" s="49"/>
      <c r="J311" s="48"/>
      <c r="K311" s="48"/>
      <c r="L311" s="48"/>
      <c r="N311" s="48"/>
      <c r="O311" s="49"/>
      <c r="P311" s="48"/>
      <c r="Q311" s="48"/>
      <c r="R311" s="48"/>
      <c r="U311" s="45" t="s">
        <v>205</v>
      </c>
      <c r="V311" s="362">
        <v>5.3559208363667322E-2</v>
      </c>
    </row>
    <row r="312" spans="2:22" x14ac:dyDescent="0.2">
      <c r="B312" s="49"/>
      <c r="C312" s="49"/>
      <c r="D312" s="48"/>
      <c r="E312" s="44"/>
      <c r="F312" s="48"/>
      <c r="H312" s="48"/>
      <c r="I312" s="49"/>
      <c r="J312" s="48"/>
      <c r="K312" s="48"/>
      <c r="L312" s="48"/>
      <c r="N312" s="48"/>
      <c r="O312" s="49"/>
      <c r="P312" s="48"/>
      <c r="Q312" s="48"/>
      <c r="R312" s="48"/>
      <c r="U312" s="361" t="s">
        <v>205</v>
      </c>
      <c r="V312" s="362">
        <v>8.2146092057454337E-2</v>
      </c>
    </row>
    <row r="313" spans="2:22" x14ac:dyDescent="0.2">
      <c r="B313" s="49"/>
      <c r="C313" s="49"/>
      <c r="D313" s="48"/>
      <c r="E313" s="44"/>
      <c r="F313" s="48"/>
      <c r="H313" s="48"/>
      <c r="I313" s="49"/>
      <c r="J313" s="48"/>
      <c r="K313" s="48"/>
      <c r="L313" s="48"/>
      <c r="N313" s="48"/>
      <c r="O313" s="49"/>
      <c r="P313" s="48"/>
      <c r="Q313" s="48"/>
      <c r="R313" s="48"/>
      <c r="U313" s="360" t="s">
        <v>205</v>
      </c>
      <c r="V313" s="362">
        <v>-4.9644445115478192E-2</v>
      </c>
    </row>
    <row r="314" spans="2:22" x14ac:dyDescent="0.2">
      <c r="B314" s="49"/>
      <c r="C314" s="49"/>
      <c r="D314" s="48"/>
      <c r="E314" s="44"/>
      <c r="F314" s="48"/>
      <c r="H314" s="48"/>
      <c r="I314" s="49"/>
      <c r="J314" s="48"/>
      <c r="K314" s="48"/>
      <c r="L314" s="48"/>
      <c r="N314" s="48"/>
      <c r="O314" s="49"/>
      <c r="P314" s="48"/>
      <c r="Q314" s="48"/>
      <c r="R314" s="48"/>
      <c r="U314" s="45" t="s">
        <v>208</v>
      </c>
      <c r="V314" s="362">
        <v>-1.22211556355151E-2</v>
      </c>
    </row>
    <row r="315" spans="2:22" x14ac:dyDescent="0.2">
      <c r="B315" s="49"/>
      <c r="C315" s="49"/>
      <c r="D315" s="48"/>
      <c r="E315" s="44"/>
      <c r="F315" s="48"/>
      <c r="H315" s="48"/>
      <c r="I315" s="49"/>
      <c r="J315" s="48"/>
      <c r="K315" s="48"/>
      <c r="L315" s="48"/>
      <c r="N315" s="48"/>
      <c r="O315" s="49"/>
      <c r="P315" s="48"/>
      <c r="Q315" s="48"/>
      <c r="R315" s="48"/>
      <c r="U315" s="361" t="s">
        <v>208</v>
      </c>
      <c r="V315" s="362">
        <v>0.11057190288214408</v>
      </c>
    </row>
    <row r="316" spans="2:22" x14ac:dyDescent="0.2">
      <c r="B316" s="49"/>
      <c r="C316" s="49"/>
      <c r="D316" s="48"/>
      <c r="E316" s="44"/>
      <c r="F316" s="48"/>
      <c r="H316" s="48"/>
      <c r="I316" s="49"/>
      <c r="J316" s="48"/>
      <c r="K316" s="48"/>
      <c r="L316" s="48"/>
      <c r="N316" s="48"/>
      <c r="O316" s="49"/>
      <c r="P316" s="48"/>
      <c r="Q316" s="48"/>
      <c r="R316" s="48"/>
      <c r="U316" s="360" t="s">
        <v>208</v>
      </c>
      <c r="V316" s="362">
        <v>0.20620530995344633</v>
      </c>
    </row>
    <row r="317" spans="2:22" x14ac:dyDescent="0.2">
      <c r="B317" s="49"/>
      <c r="C317" s="49"/>
      <c r="D317" s="48"/>
      <c r="E317" s="44"/>
      <c r="F317" s="48"/>
      <c r="H317" s="48"/>
      <c r="I317" s="49"/>
      <c r="J317" s="48"/>
      <c r="K317" s="48"/>
      <c r="L317" s="48"/>
      <c r="N317" s="48"/>
      <c r="O317" s="49"/>
      <c r="P317" s="48"/>
      <c r="Q317" s="48"/>
      <c r="R317" s="48"/>
      <c r="U317" s="45" t="s">
        <v>841</v>
      </c>
      <c r="V317" s="362">
        <v>-1.5536048584211341E-2</v>
      </c>
    </row>
    <row r="318" spans="2:22" x14ac:dyDescent="0.2">
      <c r="B318" s="49"/>
      <c r="C318" s="49"/>
      <c r="D318" s="48"/>
      <c r="E318" s="44"/>
      <c r="F318" s="48"/>
      <c r="H318" s="48"/>
      <c r="I318" s="49"/>
      <c r="J318" s="48"/>
      <c r="K318" s="48"/>
      <c r="L318" s="48"/>
      <c r="N318" s="48"/>
      <c r="O318" s="49"/>
      <c r="P318" s="48"/>
      <c r="Q318" s="48"/>
      <c r="R318" s="48"/>
      <c r="U318" s="361" t="s">
        <v>841</v>
      </c>
      <c r="V318" s="362">
        <v>0.1847719670417021</v>
      </c>
    </row>
    <row r="319" spans="2:22" x14ac:dyDescent="0.2">
      <c r="B319" s="49"/>
      <c r="C319" s="49"/>
      <c r="D319" s="48"/>
      <c r="E319" s="44"/>
      <c r="F319" s="48"/>
      <c r="H319" s="48"/>
      <c r="I319" s="49"/>
      <c r="J319" s="48"/>
      <c r="K319" s="48"/>
      <c r="L319" s="48"/>
      <c r="N319" s="48"/>
      <c r="O319" s="49"/>
      <c r="P319" s="48"/>
      <c r="Q319" s="48"/>
      <c r="R319" s="48"/>
      <c r="U319" s="360" t="s">
        <v>841</v>
      </c>
      <c r="V319" s="362">
        <v>4.6726766961929296E-2</v>
      </c>
    </row>
    <row r="320" spans="2:22" x14ac:dyDescent="0.2">
      <c r="B320" s="49"/>
      <c r="C320" s="49"/>
      <c r="D320" s="48"/>
      <c r="E320" s="44"/>
      <c r="F320" s="48"/>
      <c r="H320" s="48"/>
      <c r="I320" s="49"/>
      <c r="J320" s="48"/>
      <c r="K320" s="48"/>
      <c r="L320" s="48"/>
      <c r="N320" s="48"/>
      <c r="O320" s="49"/>
      <c r="P320" s="48"/>
      <c r="Q320" s="48"/>
      <c r="R320" s="48"/>
      <c r="U320" s="45" t="s">
        <v>843</v>
      </c>
      <c r="V320" s="362">
        <v>7.1422606983330722E-2</v>
      </c>
    </row>
    <row r="321" spans="2:22" x14ac:dyDescent="0.2">
      <c r="B321" s="49"/>
      <c r="C321" s="49"/>
      <c r="D321" s="48"/>
      <c r="E321" s="44"/>
      <c r="F321" s="48"/>
      <c r="H321" s="48"/>
      <c r="I321" s="49"/>
      <c r="J321" s="48"/>
      <c r="K321" s="48"/>
      <c r="L321" s="48"/>
      <c r="N321" s="48"/>
      <c r="O321" s="49"/>
      <c r="P321" s="48"/>
      <c r="Q321" s="48"/>
      <c r="R321" s="48"/>
      <c r="U321" s="361" t="s">
        <v>843</v>
      </c>
      <c r="V321" s="362">
        <v>0.12571282289674585</v>
      </c>
    </row>
    <row r="322" spans="2:22" x14ac:dyDescent="0.2">
      <c r="B322" s="49"/>
      <c r="C322" s="49"/>
      <c r="D322" s="48"/>
      <c r="E322" s="44"/>
      <c r="F322" s="48"/>
      <c r="H322" s="48"/>
      <c r="I322" s="49"/>
      <c r="J322" s="48"/>
      <c r="K322" s="48"/>
      <c r="L322" s="48"/>
      <c r="N322" s="48"/>
      <c r="O322" s="49"/>
      <c r="P322" s="48"/>
      <c r="Q322" s="48"/>
      <c r="R322" s="48"/>
      <c r="U322" s="360" t="s">
        <v>843</v>
      </c>
      <c r="V322" s="362">
        <v>0.1475360747962752</v>
      </c>
    </row>
    <row r="323" spans="2:22" x14ac:dyDescent="0.2">
      <c r="B323" s="49"/>
      <c r="C323" s="49"/>
      <c r="D323" s="48"/>
      <c r="E323" s="44"/>
      <c r="F323" s="48"/>
      <c r="H323" s="48"/>
      <c r="I323" s="49"/>
      <c r="J323" s="48"/>
      <c r="K323" s="48"/>
      <c r="L323" s="48"/>
      <c r="N323" s="48"/>
      <c r="O323" s="49"/>
      <c r="P323" s="48"/>
      <c r="Q323" s="48"/>
      <c r="R323" s="48"/>
      <c r="U323" s="45" t="s">
        <v>491</v>
      </c>
      <c r="V323" s="362">
        <v>6.4258757402331307E-2</v>
      </c>
    </row>
    <row r="324" spans="2:22" x14ac:dyDescent="0.2">
      <c r="B324" s="49"/>
      <c r="C324" s="49"/>
      <c r="D324" s="48"/>
      <c r="E324" s="44"/>
      <c r="F324" s="48"/>
      <c r="H324" s="48"/>
      <c r="I324" s="49"/>
      <c r="J324" s="48"/>
      <c r="K324" s="48"/>
      <c r="L324" s="48"/>
      <c r="N324" s="48"/>
      <c r="O324" s="49"/>
      <c r="P324" s="48"/>
      <c r="Q324" s="48"/>
      <c r="R324" s="48"/>
      <c r="U324" s="361" t="s">
        <v>491</v>
      </c>
      <c r="V324" s="362">
        <v>0.10332913368817832</v>
      </c>
    </row>
    <row r="325" spans="2:22" x14ac:dyDescent="0.2">
      <c r="B325" s="49"/>
      <c r="C325" s="49"/>
      <c r="D325" s="48"/>
      <c r="E325" s="44"/>
      <c r="F325" s="48"/>
      <c r="H325" s="48"/>
      <c r="I325" s="49"/>
      <c r="J325" s="48"/>
      <c r="K325" s="48"/>
      <c r="L325" s="48"/>
      <c r="N325" s="48"/>
      <c r="O325" s="49"/>
      <c r="P325" s="48"/>
      <c r="Q325" s="48"/>
      <c r="R325" s="48"/>
      <c r="U325" s="360" t="s">
        <v>491</v>
      </c>
      <c r="V325" s="362">
        <v>0.31545226079071742</v>
      </c>
    </row>
    <row r="326" spans="2:22" x14ac:dyDescent="0.2">
      <c r="B326" s="49"/>
      <c r="C326" s="49"/>
      <c r="D326" s="48"/>
      <c r="E326" s="44"/>
      <c r="F326" s="48"/>
      <c r="H326" s="48"/>
      <c r="I326" s="49"/>
      <c r="J326" s="48"/>
      <c r="K326" s="48"/>
      <c r="L326" s="48"/>
      <c r="N326" s="48"/>
      <c r="O326" s="49"/>
      <c r="P326" s="48"/>
      <c r="Q326" s="48"/>
      <c r="R326" s="48"/>
      <c r="U326" s="45" t="s">
        <v>112</v>
      </c>
      <c r="V326" s="362">
        <v>0.24055025237778915</v>
      </c>
    </row>
    <row r="327" spans="2:22" x14ac:dyDescent="0.2">
      <c r="B327" s="49"/>
      <c r="C327" s="49"/>
      <c r="D327" s="48"/>
      <c r="E327" s="44"/>
      <c r="F327" s="48"/>
      <c r="H327" s="48"/>
      <c r="I327" s="49"/>
      <c r="J327" s="48"/>
      <c r="K327" s="48"/>
      <c r="L327" s="48"/>
      <c r="N327" s="48"/>
      <c r="O327" s="49"/>
      <c r="P327" s="48"/>
      <c r="Q327" s="48"/>
      <c r="R327" s="48"/>
      <c r="U327" s="361" t="s">
        <v>112</v>
      </c>
      <c r="V327" s="362">
        <v>-0.1131765735032392</v>
      </c>
    </row>
    <row r="328" spans="2:22" x14ac:dyDescent="0.2">
      <c r="B328" s="49"/>
      <c r="C328" s="49"/>
      <c r="D328" s="48"/>
      <c r="E328" s="44"/>
      <c r="F328" s="48"/>
      <c r="H328" s="48"/>
      <c r="I328" s="49"/>
      <c r="J328" s="48"/>
      <c r="K328" s="48"/>
      <c r="L328" s="48"/>
      <c r="N328" s="48"/>
      <c r="O328" s="49"/>
      <c r="P328" s="48"/>
      <c r="Q328" s="48"/>
      <c r="R328" s="48"/>
      <c r="U328" s="360" t="s">
        <v>112</v>
      </c>
      <c r="V328" s="362">
        <v>1.9002839074197069E-2</v>
      </c>
    </row>
    <row r="329" spans="2:22" x14ac:dyDescent="0.2">
      <c r="B329" s="49"/>
      <c r="C329" s="49"/>
      <c r="D329" s="48"/>
      <c r="E329" s="44"/>
      <c r="F329" s="48"/>
      <c r="H329" s="48"/>
      <c r="I329" s="49"/>
      <c r="J329" s="48"/>
      <c r="K329" s="48"/>
      <c r="L329" s="48"/>
      <c r="N329" s="48"/>
      <c r="O329" s="49"/>
      <c r="P329" s="48"/>
      <c r="Q329" s="48"/>
      <c r="R329" s="48"/>
      <c r="U329" s="45" t="s">
        <v>210</v>
      </c>
      <c r="V329" s="362">
        <v>4.697467333592005E-3</v>
      </c>
    </row>
    <row r="330" spans="2:22" x14ac:dyDescent="0.2">
      <c r="B330" s="49"/>
      <c r="C330" s="49"/>
      <c r="D330" s="48"/>
      <c r="E330" s="44"/>
      <c r="F330" s="48"/>
      <c r="H330" s="48"/>
      <c r="I330" s="49"/>
      <c r="J330" s="48"/>
      <c r="K330" s="48"/>
      <c r="L330" s="48"/>
      <c r="N330" s="48"/>
      <c r="O330" s="49"/>
      <c r="P330" s="48"/>
      <c r="Q330" s="48"/>
      <c r="R330" s="48"/>
      <c r="U330" s="361" t="s">
        <v>210</v>
      </c>
      <c r="V330" s="362">
        <v>7.3606751002393306E-2</v>
      </c>
    </row>
    <row r="331" spans="2:22" x14ac:dyDescent="0.2">
      <c r="B331" s="49"/>
      <c r="C331" s="49"/>
      <c r="D331" s="48"/>
      <c r="E331" s="44"/>
      <c r="F331" s="48"/>
      <c r="H331" s="48"/>
      <c r="I331" s="49"/>
      <c r="J331" s="48"/>
      <c r="K331" s="48"/>
      <c r="L331" s="48"/>
      <c r="N331" s="48"/>
      <c r="O331" s="49"/>
      <c r="P331" s="48"/>
      <c r="Q331" s="48"/>
      <c r="R331" s="48"/>
      <c r="U331" s="360" t="s">
        <v>210</v>
      </c>
      <c r="V331" s="362">
        <v>0.1100650962692325</v>
      </c>
    </row>
    <row r="332" spans="2:22" x14ac:dyDescent="0.2">
      <c r="B332" s="49"/>
      <c r="C332" s="49"/>
      <c r="D332" s="48"/>
      <c r="E332" s="44"/>
      <c r="F332" s="48"/>
      <c r="H332" s="48"/>
      <c r="I332" s="49"/>
      <c r="J332" s="48"/>
      <c r="K332" s="48"/>
      <c r="L332" s="48"/>
      <c r="N332" s="48"/>
      <c r="O332" s="49"/>
      <c r="P332" s="48"/>
      <c r="Q332" s="48"/>
      <c r="R332" s="48"/>
      <c r="U332" s="45" t="s">
        <v>845</v>
      </c>
      <c r="V332" s="362">
        <v>0.13150063182481572</v>
      </c>
    </row>
    <row r="333" spans="2:22" x14ac:dyDescent="0.2">
      <c r="B333" s="49"/>
      <c r="C333" s="49"/>
      <c r="D333" s="48"/>
      <c r="E333" s="44"/>
      <c r="F333" s="48"/>
      <c r="H333" s="48"/>
      <c r="I333" s="49"/>
      <c r="J333" s="48"/>
      <c r="K333" s="48"/>
      <c r="L333" s="48"/>
      <c r="N333" s="48"/>
      <c r="O333" s="49"/>
      <c r="P333" s="48"/>
      <c r="Q333" s="48"/>
      <c r="R333" s="48"/>
      <c r="U333" s="361" t="s">
        <v>845</v>
      </c>
      <c r="V333" s="362">
        <v>1.9945943967909746E-2</v>
      </c>
    </row>
    <row r="334" spans="2:22" x14ac:dyDescent="0.2">
      <c r="B334" s="49"/>
      <c r="C334" s="49"/>
      <c r="D334" s="48"/>
      <c r="E334" s="44"/>
      <c r="F334" s="48"/>
      <c r="H334" s="48"/>
      <c r="I334" s="49"/>
      <c r="J334" s="48"/>
      <c r="K334" s="48"/>
      <c r="L334" s="48"/>
      <c r="N334" s="48"/>
      <c r="O334" s="49"/>
      <c r="P334" s="48"/>
      <c r="Q334" s="48"/>
      <c r="R334" s="48"/>
      <c r="U334" s="360" t="s">
        <v>845</v>
      </c>
      <c r="V334" s="362">
        <v>0.17658521455575768</v>
      </c>
    </row>
    <row r="335" spans="2:22" x14ac:dyDescent="0.2">
      <c r="B335" s="49"/>
      <c r="C335" s="49"/>
      <c r="D335" s="48"/>
      <c r="E335" s="44"/>
      <c r="F335" s="48"/>
      <c r="H335" s="48"/>
      <c r="I335" s="49"/>
      <c r="J335" s="48"/>
      <c r="K335" s="48"/>
      <c r="L335" s="48"/>
      <c r="N335" s="48"/>
      <c r="O335" s="49"/>
      <c r="P335" s="48"/>
      <c r="Q335" s="48"/>
      <c r="R335" s="48"/>
      <c r="U335" s="45" t="s">
        <v>115</v>
      </c>
      <c r="V335" s="362">
        <v>8.9169054330835357E-2</v>
      </c>
    </row>
    <row r="336" spans="2:22" x14ac:dyDescent="0.2">
      <c r="B336" s="49"/>
      <c r="C336" s="49"/>
      <c r="D336" s="48"/>
      <c r="E336" s="44"/>
      <c r="F336" s="48"/>
      <c r="H336" s="48"/>
      <c r="I336" s="49"/>
      <c r="J336" s="48"/>
      <c r="K336" s="48"/>
      <c r="L336" s="48"/>
      <c r="N336" s="48"/>
      <c r="O336" s="49"/>
      <c r="P336" s="48"/>
      <c r="Q336" s="48"/>
      <c r="R336" s="48"/>
      <c r="U336" s="361" t="s">
        <v>115</v>
      </c>
      <c r="V336" s="362">
        <v>-0.11165965149411297</v>
      </c>
    </row>
    <row r="337" spans="2:22" x14ac:dyDescent="0.2">
      <c r="B337" s="49"/>
      <c r="C337" s="49"/>
      <c r="D337" s="48"/>
      <c r="E337" s="44"/>
      <c r="F337" s="48"/>
      <c r="H337" s="48"/>
      <c r="I337" s="49"/>
      <c r="J337" s="48"/>
      <c r="K337" s="48"/>
      <c r="L337" s="48"/>
      <c r="N337" s="48"/>
      <c r="O337" s="49"/>
      <c r="P337" s="48"/>
      <c r="Q337" s="48"/>
      <c r="R337" s="48"/>
      <c r="U337" s="360" t="s">
        <v>115</v>
      </c>
      <c r="V337" s="362">
        <v>-2.9095163751071344E-2</v>
      </c>
    </row>
    <row r="338" spans="2:22" x14ac:dyDescent="0.2">
      <c r="B338" s="49"/>
      <c r="C338" s="49"/>
      <c r="D338" s="48"/>
      <c r="E338" s="44"/>
      <c r="F338" s="48"/>
      <c r="H338" s="48"/>
      <c r="I338" s="49"/>
      <c r="J338" s="48"/>
      <c r="K338" s="48"/>
      <c r="L338" s="48"/>
      <c r="N338" s="48"/>
      <c r="O338" s="49"/>
      <c r="P338" s="48"/>
      <c r="Q338" s="48"/>
      <c r="R338" s="48"/>
      <c r="U338" s="45" t="s">
        <v>487</v>
      </c>
      <c r="V338" s="362">
        <v>-8.0651035909550476E-3</v>
      </c>
    </row>
    <row r="339" spans="2:22" x14ac:dyDescent="0.2">
      <c r="B339" s="49"/>
      <c r="C339" s="49"/>
      <c r="D339" s="48"/>
      <c r="E339" s="44"/>
      <c r="F339" s="48"/>
      <c r="H339" s="48"/>
      <c r="I339" s="49"/>
      <c r="J339" s="48"/>
      <c r="K339" s="48"/>
      <c r="L339" s="48"/>
      <c r="N339" s="48"/>
      <c r="O339" s="49"/>
      <c r="P339" s="48"/>
      <c r="Q339" s="48"/>
      <c r="R339" s="48"/>
      <c r="U339" s="361" t="s">
        <v>487</v>
      </c>
      <c r="V339" s="362">
        <v>0.10611770047707768</v>
      </c>
    </row>
    <row r="340" spans="2:22" x14ac:dyDescent="0.2">
      <c r="B340" s="49"/>
      <c r="C340" s="49"/>
      <c r="D340" s="48"/>
      <c r="E340" s="44"/>
      <c r="F340" s="48"/>
      <c r="H340" s="48"/>
      <c r="I340" s="49"/>
      <c r="J340" s="48"/>
      <c r="K340" s="48"/>
      <c r="L340" s="48"/>
      <c r="N340" s="48"/>
      <c r="O340" s="49"/>
      <c r="P340" s="48"/>
      <c r="Q340" s="48"/>
      <c r="R340" s="48"/>
      <c r="U340" s="360" t="s">
        <v>487</v>
      </c>
      <c r="V340" s="362">
        <v>6.5535918311222047E-2</v>
      </c>
    </row>
    <row r="341" spans="2:22" x14ac:dyDescent="0.2">
      <c r="B341" s="49"/>
      <c r="C341" s="49"/>
      <c r="D341" s="48"/>
      <c r="E341" s="44"/>
      <c r="F341" s="48"/>
      <c r="H341" s="48"/>
      <c r="I341" s="49"/>
      <c r="J341" s="48"/>
      <c r="K341" s="48"/>
      <c r="L341" s="48"/>
      <c r="N341" s="48"/>
      <c r="O341" s="49"/>
      <c r="P341" s="48"/>
      <c r="Q341" s="48"/>
      <c r="R341" s="48"/>
      <c r="U341" s="45" t="s">
        <v>310</v>
      </c>
      <c r="V341" s="362">
        <v>6.14722202023587E-2</v>
      </c>
    </row>
    <row r="342" spans="2:22" x14ac:dyDescent="0.2">
      <c r="B342" s="49"/>
      <c r="C342" s="49"/>
      <c r="D342" s="48"/>
      <c r="E342" s="44"/>
      <c r="F342" s="48"/>
      <c r="H342" s="48"/>
      <c r="I342" s="49"/>
      <c r="J342" s="48"/>
      <c r="K342" s="48"/>
      <c r="L342" s="48"/>
      <c r="N342" s="48"/>
      <c r="O342" s="49"/>
      <c r="P342" s="48"/>
      <c r="Q342" s="48"/>
      <c r="R342" s="48"/>
      <c r="U342" s="361" t="s">
        <v>310</v>
      </c>
      <c r="V342" s="362">
        <v>0.19684795210420608</v>
      </c>
    </row>
    <row r="343" spans="2:22" x14ac:dyDescent="0.2">
      <c r="B343" s="49"/>
      <c r="C343" s="49"/>
      <c r="D343" s="48"/>
      <c r="E343" s="44"/>
      <c r="F343" s="48"/>
      <c r="H343" s="48"/>
      <c r="I343" s="49"/>
      <c r="J343" s="48"/>
      <c r="K343" s="48"/>
      <c r="L343" s="48"/>
      <c r="N343" s="48"/>
      <c r="O343" s="49"/>
      <c r="P343" s="48"/>
      <c r="Q343" s="48"/>
      <c r="R343" s="48"/>
      <c r="U343" s="360" t="s">
        <v>310</v>
      </c>
      <c r="V343" s="362">
        <v>-9.7861189121978054E-2</v>
      </c>
    </row>
    <row r="344" spans="2:22" x14ac:dyDescent="0.2">
      <c r="B344" s="49"/>
      <c r="C344" s="49"/>
      <c r="D344" s="48"/>
      <c r="E344" s="44"/>
      <c r="F344" s="48"/>
      <c r="H344" s="48"/>
      <c r="I344" s="49"/>
      <c r="J344" s="48"/>
      <c r="K344" s="48"/>
      <c r="L344" s="48"/>
      <c r="N344" s="48"/>
      <c r="O344" s="49"/>
      <c r="P344" s="48"/>
      <c r="Q344" s="48"/>
      <c r="R344" s="48"/>
      <c r="U344" s="45" t="s">
        <v>584</v>
      </c>
      <c r="V344" s="362">
        <v>0.15975965631853595</v>
      </c>
    </row>
    <row r="345" spans="2:22" x14ac:dyDescent="0.2">
      <c r="B345" s="49"/>
      <c r="C345" s="49"/>
      <c r="D345" s="48"/>
      <c r="E345" s="44"/>
      <c r="F345" s="48"/>
      <c r="H345" s="48"/>
      <c r="I345" s="49"/>
      <c r="J345" s="48"/>
      <c r="K345" s="48"/>
      <c r="L345" s="48"/>
      <c r="N345" s="48"/>
      <c r="O345" s="49"/>
      <c r="P345" s="48"/>
      <c r="Q345" s="48"/>
      <c r="R345" s="48"/>
      <c r="U345" s="361" t="s">
        <v>584</v>
      </c>
      <c r="V345" s="362">
        <v>0.17766329217919713</v>
      </c>
    </row>
    <row r="346" spans="2:22" x14ac:dyDescent="0.2">
      <c r="B346" s="49"/>
      <c r="C346" s="49"/>
      <c r="D346" s="48"/>
      <c r="E346" s="44"/>
      <c r="F346" s="48"/>
      <c r="H346" s="48"/>
      <c r="I346" s="49"/>
      <c r="J346" s="48"/>
      <c r="K346" s="48"/>
      <c r="L346" s="48"/>
      <c r="N346" s="48"/>
      <c r="O346" s="49"/>
      <c r="P346" s="48"/>
      <c r="Q346" s="48"/>
      <c r="R346" s="48"/>
      <c r="U346" s="360" t="s">
        <v>584</v>
      </c>
      <c r="V346" s="362">
        <v>6.249121296766398E-4</v>
      </c>
    </row>
    <row r="347" spans="2:22" x14ac:dyDescent="0.2">
      <c r="B347" s="49"/>
      <c r="C347" s="49"/>
      <c r="D347" s="48"/>
      <c r="E347" s="44"/>
      <c r="F347" s="48"/>
      <c r="H347" s="48"/>
      <c r="I347" s="49"/>
      <c r="J347" s="48"/>
      <c r="K347" s="48"/>
      <c r="L347" s="48"/>
      <c r="N347" s="48"/>
      <c r="O347" s="49"/>
      <c r="P347" s="48"/>
      <c r="Q347" s="48"/>
      <c r="R347" s="48"/>
      <c r="U347" s="45" t="s">
        <v>314</v>
      </c>
      <c r="V347" s="362">
        <v>6.7230297693752217E-2</v>
      </c>
    </row>
    <row r="348" spans="2:22" x14ac:dyDescent="0.2">
      <c r="B348" s="49"/>
      <c r="C348" s="49"/>
      <c r="D348" s="48"/>
      <c r="E348" s="44"/>
      <c r="F348" s="48"/>
      <c r="H348" s="48"/>
      <c r="I348" s="49"/>
      <c r="J348" s="48"/>
      <c r="K348" s="48"/>
      <c r="L348" s="48"/>
      <c r="N348" s="48"/>
      <c r="O348" s="49"/>
      <c r="P348" s="48"/>
      <c r="Q348" s="48"/>
      <c r="R348" s="48"/>
      <c r="U348" s="361" t="s">
        <v>314</v>
      </c>
      <c r="V348" s="362">
        <v>1.9117045862651616E-2</v>
      </c>
    </row>
    <row r="349" spans="2:22" x14ac:dyDescent="0.2">
      <c r="B349" s="49"/>
      <c r="C349" s="49"/>
      <c r="D349" s="48"/>
      <c r="E349" s="44"/>
      <c r="F349" s="48"/>
      <c r="H349" s="48"/>
      <c r="I349" s="49"/>
      <c r="J349" s="48"/>
      <c r="K349" s="48"/>
      <c r="L349" s="48"/>
      <c r="N349" s="48"/>
      <c r="O349" s="49"/>
      <c r="P349" s="48"/>
      <c r="Q349" s="48"/>
      <c r="R349" s="48"/>
      <c r="U349" s="360" t="s">
        <v>314</v>
      </c>
      <c r="V349" s="362">
        <v>0.14697163958185952</v>
      </c>
    </row>
    <row r="350" spans="2:22" x14ac:dyDescent="0.2">
      <c r="B350" s="49"/>
      <c r="C350" s="49"/>
      <c r="D350" s="48"/>
      <c r="E350" s="44"/>
      <c r="F350" s="48"/>
      <c r="H350" s="48"/>
      <c r="I350" s="49"/>
      <c r="J350" s="48"/>
      <c r="K350" s="48"/>
      <c r="L350" s="48"/>
      <c r="N350" s="48"/>
      <c r="O350" s="49"/>
      <c r="P350" s="48"/>
      <c r="Q350" s="48"/>
      <c r="R350" s="48"/>
      <c r="U350" s="45" t="s">
        <v>850</v>
      </c>
      <c r="V350" s="362">
        <v>0.22134044234136716</v>
      </c>
    </row>
    <row r="351" spans="2:22" x14ac:dyDescent="0.2">
      <c r="B351" s="49"/>
      <c r="C351" s="49"/>
      <c r="D351" s="48"/>
      <c r="E351" s="44"/>
      <c r="F351" s="48"/>
      <c r="H351" s="48"/>
      <c r="I351" s="49"/>
      <c r="J351" s="48"/>
      <c r="K351" s="48"/>
      <c r="L351" s="48"/>
      <c r="N351" s="48"/>
      <c r="O351" s="49"/>
      <c r="P351" s="48"/>
      <c r="Q351" s="48"/>
      <c r="R351" s="48"/>
      <c r="U351" s="361" t="s">
        <v>850</v>
      </c>
      <c r="V351" s="362">
        <v>0.12482047415157575</v>
      </c>
    </row>
    <row r="352" spans="2:22" x14ac:dyDescent="0.2">
      <c r="B352" s="49"/>
      <c r="C352" s="49"/>
      <c r="D352" s="48"/>
      <c r="E352" s="44"/>
      <c r="F352" s="48"/>
      <c r="H352" s="48"/>
      <c r="I352" s="49"/>
      <c r="J352" s="48"/>
      <c r="K352" s="48"/>
      <c r="L352" s="48"/>
      <c r="N352" s="48"/>
      <c r="O352" s="49"/>
      <c r="P352" s="48"/>
      <c r="Q352" s="48"/>
      <c r="R352" s="48"/>
      <c r="U352" s="360" t="s">
        <v>850</v>
      </c>
      <c r="V352" s="362">
        <v>-0.14457459427810665</v>
      </c>
    </row>
    <row r="353" spans="2:22" x14ac:dyDescent="0.2">
      <c r="B353" s="49"/>
      <c r="C353" s="49"/>
      <c r="D353" s="48"/>
      <c r="E353" s="44"/>
      <c r="F353" s="48"/>
      <c r="H353" s="48"/>
      <c r="I353" s="49"/>
      <c r="J353" s="48"/>
      <c r="K353" s="48"/>
      <c r="L353" s="48"/>
      <c r="N353" s="48"/>
      <c r="O353" s="49"/>
      <c r="P353" s="48"/>
      <c r="Q353" s="48"/>
      <c r="R353" s="48"/>
      <c r="U353" s="45" t="s">
        <v>588</v>
      </c>
      <c r="V353" s="362">
        <v>8.2331857628527808E-2</v>
      </c>
    </row>
    <row r="354" spans="2:22" x14ac:dyDescent="0.2">
      <c r="B354" s="49"/>
      <c r="C354" s="49"/>
      <c r="D354" s="48"/>
      <c r="E354" s="44"/>
      <c r="F354" s="48"/>
      <c r="H354" s="48"/>
      <c r="I354" s="49"/>
      <c r="J354" s="48"/>
      <c r="K354" s="48"/>
      <c r="L354" s="48"/>
      <c r="N354" s="48"/>
      <c r="O354" s="49"/>
      <c r="P354" s="48"/>
      <c r="Q354" s="48"/>
      <c r="R354" s="48"/>
      <c r="U354" s="361" t="s">
        <v>588</v>
      </c>
      <c r="V354" s="362">
        <v>0.45504329100972596</v>
      </c>
    </row>
    <row r="355" spans="2:22" x14ac:dyDescent="0.2">
      <c r="B355" s="49"/>
      <c r="C355" s="49"/>
      <c r="D355" s="48"/>
      <c r="E355" s="44"/>
      <c r="F355" s="48"/>
      <c r="H355" s="48"/>
      <c r="I355" s="49"/>
      <c r="J355" s="48"/>
      <c r="K355" s="48"/>
      <c r="L355" s="48"/>
      <c r="N355" s="48"/>
      <c r="O355" s="49"/>
      <c r="P355" s="48"/>
      <c r="Q355" s="48"/>
      <c r="R355" s="48"/>
      <c r="U355" s="360" t="s">
        <v>588</v>
      </c>
      <c r="V355" s="362">
        <v>0.10369716018306226</v>
      </c>
    </row>
    <row r="356" spans="2:22" x14ac:dyDescent="0.2">
      <c r="B356" s="49"/>
      <c r="C356" s="49"/>
      <c r="D356" s="48"/>
      <c r="E356" s="44"/>
      <c r="F356" s="48"/>
      <c r="H356" s="48"/>
      <c r="I356" s="49"/>
      <c r="J356" s="48"/>
      <c r="K356" s="48"/>
      <c r="L356" s="48"/>
      <c r="N356" s="48"/>
      <c r="O356" s="49"/>
      <c r="P356" s="48"/>
      <c r="Q356" s="48"/>
      <c r="R356" s="48"/>
      <c r="U356" s="45" t="s">
        <v>119</v>
      </c>
      <c r="V356" s="362">
        <v>0.19031045009233627</v>
      </c>
    </row>
    <row r="357" spans="2:22" x14ac:dyDescent="0.2">
      <c r="B357" s="49"/>
      <c r="C357" s="49"/>
      <c r="D357" s="48"/>
      <c r="E357" s="44"/>
      <c r="F357" s="48"/>
      <c r="H357" s="48"/>
      <c r="I357" s="49"/>
      <c r="J357" s="48"/>
      <c r="K357" s="48"/>
      <c r="L357" s="48"/>
      <c r="N357" s="48"/>
      <c r="O357" s="49"/>
      <c r="P357" s="48"/>
      <c r="Q357" s="48"/>
      <c r="R357" s="48"/>
      <c r="U357" s="361" t="s">
        <v>119</v>
      </c>
      <c r="V357" s="362">
        <v>0.14500866025953246</v>
      </c>
    </row>
    <row r="358" spans="2:22" x14ac:dyDescent="0.2">
      <c r="B358" s="49"/>
      <c r="C358" s="49"/>
      <c r="D358" s="48"/>
      <c r="E358" s="44"/>
      <c r="F358" s="48"/>
      <c r="H358" s="48"/>
      <c r="I358" s="49"/>
      <c r="J358" s="48"/>
      <c r="K358" s="48"/>
      <c r="L358" s="48"/>
      <c r="N358" s="48"/>
      <c r="O358" s="49"/>
      <c r="P358" s="48"/>
      <c r="Q358" s="48"/>
      <c r="R358" s="48"/>
      <c r="U358" s="360" t="s">
        <v>119</v>
      </c>
      <c r="V358" s="362">
        <v>-0.11667996658638298</v>
      </c>
    </row>
    <row r="359" spans="2:22" x14ac:dyDescent="0.2">
      <c r="B359" s="49"/>
      <c r="C359" s="49"/>
      <c r="D359" s="48"/>
      <c r="E359" s="44"/>
      <c r="F359" s="48"/>
      <c r="H359" s="48"/>
      <c r="I359" s="49"/>
      <c r="J359" s="48"/>
      <c r="K359" s="48"/>
      <c r="L359" s="48"/>
      <c r="N359" s="48"/>
      <c r="O359" s="49"/>
      <c r="P359" s="48"/>
      <c r="Q359" s="48"/>
      <c r="R359" s="48"/>
      <c r="U359" s="45" t="s">
        <v>320</v>
      </c>
      <c r="V359" s="362">
        <v>8.4046449991296554E-2</v>
      </c>
    </row>
    <row r="360" spans="2:22" x14ac:dyDescent="0.2">
      <c r="B360" s="49"/>
      <c r="C360" s="49"/>
      <c r="D360" s="48"/>
      <c r="E360" s="44"/>
      <c r="F360" s="48"/>
      <c r="H360" s="48"/>
      <c r="I360" s="49"/>
      <c r="J360" s="48"/>
      <c r="K360" s="48"/>
      <c r="L360" s="48"/>
      <c r="N360" s="48"/>
      <c r="O360" s="49"/>
      <c r="P360" s="48"/>
      <c r="Q360" s="48"/>
      <c r="R360" s="48"/>
      <c r="U360" s="361" t="s">
        <v>320</v>
      </c>
      <c r="V360" s="362">
        <v>7.3339738036854799E-2</v>
      </c>
    </row>
    <row r="361" spans="2:22" x14ac:dyDescent="0.2">
      <c r="B361" s="49"/>
      <c r="C361" s="49"/>
      <c r="D361" s="48"/>
      <c r="E361" s="44"/>
      <c r="F361" s="48"/>
      <c r="H361" s="48"/>
      <c r="I361" s="49"/>
      <c r="J361" s="48"/>
      <c r="K361" s="48"/>
      <c r="L361" s="48"/>
      <c r="N361" s="48"/>
      <c r="O361" s="49"/>
      <c r="P361" s="48"/>
      <c r="Q361" s="48"/>
      <c r="R361" s="48"/>
      <c r="U361" s="360" t="s">
        <v>320</v>
      </c>
      <c r="V361" s="362">
        <v>8.8141020074166243E-2</v>
      </c>
    </row>
    <row r="362" spans="2:22" x14ac:dyDescent="0.2">
      <c r="B362" s="49"/>
      <c r="C362" s="49"/>
      <c r="D362" s="48"/>
      <c r="E362" s="44"/>
      <c r="F362" s="48"/>
      <c r="H362" s="48"/>
      <c r="I362" s="49"/>
      <c r="J362" s="48"/>
      <c r="K362" s="48"/>
      <c r="L362" s="48"/>
      <c r="N362" s="48"/>
      <c r="O362" s="49"/>
      <c r="P362" s="48"/>
      <c r="Q362" s="48"/>
      <c r="R362" s="48"/>
      <c r="U362" s="45" t="s">
        <v>212</v>
      </c>
      <c r="V362" s="362">
        <v>0.37776106159368006</v>
      </c>
    </row>
    <row r="363" spans="2:22" x14ac:dyDescent="0.2">
      <c r="B363" s="49"/>
      <c r="C363" s="49"/>
      <c r="D363" s="48"/>
      <c r="E363" s="44"/>
      <c r="F363" s="48"/>
      <c r="H363" s="48"/>
      <c r="I363" s="49"/>
      <c r="J363" s="48"/>
      <c r="K363" s="48"/>
      <c r="L363" s="48"/>
      <c r="N363" s="48"/>
      <c r="O363" s="49"/>
      <c r="P363" s="48"/>
      <c r="Q363" s="48"/>
      <c r="R363" s="48"/>
      <c r="U363" s="361" t="s">
        <v>212</v>
      </c>
      <c r="V363" s="362">
        <v>-4.0092557886005874E-2</v>
      </c>
    </row>
    <row r="364" spans="2:22" x14ac:dyDescent="0.2">
      <c r="B364" s="49"/>
      <c r="C364" s="49"/>
      <c r="D364" s="48"/>
      <c r="E364" s="44"/>
      <c r="F364" s="48"/>
      <c r="H364" s="48"/>
      <c r="I364" s="49"/>
      <c r="J364" s="48"/>
      <c r="K364" s="48"/>
      <c r="L364" s="48"/>
      <c r="N364" s="48"/>
      <c r="O364" s="49"/>
      <c r="P364" s="48"/>
      <c r="Q364" s="48"/>
      <c r="R364" s="48"/>
      <c r="U364" s="360" t="s">
        <v>212</v>
      </c>
      <c r="V364" s="362">
        <v>-9.4842777428705109E-3</v>
      </c>
    </row>
    <row r="365" spans="2:22" x14ac:dyDescent="0.2">
      <c r="B365" s="49"/>
      <c r="C365" s="49"/>
      <c r="D365" s="48"/>
      <c r="E365" s="44"/>
      <c r="F365" s="48"/>
      <c r="H365" s="48"/>
      <c r="I365" s="49"/>
      <c r="J365" s="48"/>
      <c r="K365" s="48"/>
      <c r="L365" s="48"/>
      <c r="N365" s="48"/>
      <c r="O365" s="49"/>
      <c r="P365" s="48"/>
      <c r="Q365" s="48"/>
      <c r="R365" s="48"/>
      <c r="U365" s="45" t="s">
        <v>215</v>
      </c>
      <c r="V365" s="362">
        <v>7.1086108179330421E-2</v>
      </c>
    </row>
    <row r="366" spans="2:22" x14ac:dyDescent="0.2">
      <c r="B366" s="49"/>
      <c r="C366" s="49"/>
      <c r="D366" s="48"/>
      <c r="E366" s="44"/>
      <c r="F366" s="48"/>
      <c r="H366" s="48"/>
      <c r="I366" s="49"/>
      <c r="J366" s="48"/>
      <c r="K366" s="48"/>
      <c r="L366" s="48"/>
      <c r="N366" s="48"/>
      <c r="O366" s="49"/>
      <c r="P366" s="48"/>
      <c r="Q366" s="48"/>
      <c r="R366" s="48"/>
      <c r="U366" s="361" t="s">
        <v>215</v>
      </c>
      <c r="V366" s="362">
        <v>-2.1297891405727777E-2</v>
      </c>
    </row>
    <row r="367" spans="2:22" x14ac:dyDescent="0.2">
      <c r="B367" s="49"/>
      <c r="C367" s="49"/>
      <c r="D367" s="48"/>
      <c r="E367" s="44"/>
      <c r="F367" s="48"/>
      <c r="H367" s="48"/>
      <c r="I367" s="49"/>
      <c r="J367" s="48"/>
      <c r="K367" s="48"/>
      <c r="L367" s="48"/>
      <c r="N367" s="48"/>
      <c r="O367" s="49"/>
      <c r="P367" s="48"/>
      <c r="Q367" s="48"/>
      <c r="R367" s="48"/>
      <c r="U367" s="360" t="s">
        <v>215</v>
      </c>
      <c r="V367" s="362">
        <v>5.8668077979239806E-2</v>
      </c>
    </row>
    <row r="368" spans="2:22" x14ac:dyDescent="0.2">
      <c r="B368" s="49"/>
      <c r="C368" s="49"/>
      <c r="D368" s="48"/>
      <c r="E368" s="44"/>
      <c r="F368" s="48"/>
      <c r="H368" s="48"/>
      <c r="I368" s="49"/>
      <c r="J368" s="48"/>
      <c r="K368" s="48"/>
      <c r="L368" s="48"/>
      <c r="N368" s="48"/>
      <c r="O368" s="49"/>
      <c r="P368" s="48"/>
      <c r="Q368" s="48"/>
      <c r="R368" s="48"/>
      <c r="U368" s="45" t="s">
        <v>391</v>
      </c>
      <c r="V368" s="362">
        <v>0.32272834642166359</v>
      </c>
    </row>
    <row r="369" spans="2:22" x14ac:dyDescent="0.2">
      <c r="B369" s="49"/>
      <c r="C369" s="49"/>
      <c r="D369" s="48"/>
      <c r="E369" s="44"/>
      <c r="F369" s="48"/>
      <c r="H369" s="48"/>
      <c r="I369" s="49"/>
      <c r="J369" s="48"/>
      <c r="K369" s="48"/>
      <c r="L369" s="48"/>
      <c r="N369" s="48"/>
      <c r="O369" s="49"/>
      <c r="P369" s="48"/>
      <c r="Q369" s="48"/>
      <c r="R369" s="48"/>
      <c r="U369" s="361" t="s">
        <v>391</v>
      </c>
      <c r="V369" s="362">
        <v>0.1952355172309041</v>
      </c>
    </row>
    <row r="370" spans="2:22" x14ac:dyDescent="0.2">
      <c r="B370" s="49"/>
      <c r="C370" s="49"/>
      <c r="D370" s="48"/>
      <c r="E370" s="44"/>
      <c r="F370" s="48"/>
      <c r="H370" s="48"/>
      <c r="I370" s="49"/>
      <c r="J370" s="48"/>
      <c r="K370" s="48"/>
      <c r="L370" s="48"/>
      <c r="N370" s="48"/>
      <c r="O370" s="49"/>
      <c r="P370" s="48"/>
      <c r="Q370" s="48"/>
      <c r="R370" s="48"/>
      <c r="U370" s="360" t="s">
        <v>391</v>
      </c>
      <c r="V370" s="362">
        <v>0.75212788756537019</v>
      </c>
    </row>
    <row r="371" spans="2:22" x14ac:dyDescent="0.2">
      <c r="B371" s="49"/>
      <c r="C371" s="49"/>
      <c r="D371" s="48"/>
      <c r="E371" s="44"/>
      <c r="F371" s="48"/>
      <c r="H371" s="48"/>
      <c r="I371" s="49"/>
      <c r="J371" s="48"/>
      <c r="K371" s="48"/>
      <c r="L371" s="48"/>
      <c r="N371" s="48"/>
      <c r="O371" s="49"/>
      <c r="P371" s="48"/>
      <c r="Q371" s="48"/>
      <c r="R371" s="48"/>
      <c r="U371" s="45" t="s">
        <v>325</v>
      </c>
      <c r="V371" s="362">
        <v>0.102490265015086</v>
      </c>
    </row>
    <row r="372" spans="2:22" x14ac:dyDescent="0.2">
      <c r="B372" s="49"/>
      <c r="C372" s="49"/>
      <c r="D372" s="48"/>
      <c r="E372" s="44"/>
      <c r="F372" s="48"/>
      <c r="H372" s="48"/>
      <c r="I372" s="49"/>
      <c r="J372" s="48"/>
      <c r="K372" s="48"/>
      <c r="L372" s="48"/>
      <c r="N372" s="48"/>
      <c r="O372" s="49"/>
      <c r="P372" s="48"/>
      <c r="Q372" s="48"/>
      <c r="R372" s="48"/>
      <c r="U372" s="361" t="s">
        <v>325</v>
      </c>
      <c r="V372" s="362">
        <v>1.971057884231537E-2</v>
      </c>
    </row>
    <row r="373" spans="2:22" x14ac:dyDescent="0.2">
      <c r="U373" s="360" t="s">
        <v>325</v>
      </c>
      <c r="V373" s="362">
        <v>3.6571751896256423E-2</v>
      </c>
    </row>
    <row r="374" spans="2:22" x14ac:dyDescent="0.2">
      <c r="U374" s="45" t="s">
        <v>329</v>
      </c>
      <c r="V374" s="362">
        <v>0.13993566470798025</v>
      </c>
    </row>
    <row r="375" spans="2:22" x14ac:dyDescent="0.2">
      <c r="U375" s="361" t="s">
        <v>329</v>
      </c>
      <c r="V375" s="362">
        <v>0.15947434902078189</v>
      </c>
    </row>
    <row r="376" spans="2:22" x14ac:dyDescent="0.2">
      <c r="U376" s="360" t="s">
        <v>329</v>
      </c>
      <c r="V376" s="362">
        <v>8.2872235189148297E-2</v>
      </c>
    </row>
    <row r="377" spans="2:22" x14ac:dyDescent="0.2">
      <c r="U377" s="45" t="s">
        <v>397</v>
      </c>
      <c r="V377" s="362">
        <v>0.20489859606432004</v>
      </c>
    </row>
    <row r="378" spans="2:22" x14ac:dyDescent="0.2">
      <c r="U378" s="361" t="s">
        <v>397</v>
      </c>
      <c r="V378" s="362">
        <v>0.80741810402380487</v>
      </c>
    </row>
    <row r="379" spans="2:22" x14ac:dyDescent="0.2">
      <c r="U379" s="360" t="s">
        <v>397</v>
      </c>
      <c r="V379" s="362">
        <v>-3.4413793103448276E-2</v>
      </c>
    </row>
    <row r="380" spans="2:22" x14ac:dyDescent="0.2">
      <c r="U380" s="45" t="s">
        <v>857</v>
      </c>
      <c r="V380" s="362">
        <v>0.18111563258603672</v>
      </c>
    </row>
    <row r="381" spans="2:22" x14ac:dyDescent="0.2">
      <c r="U381" s="361" t="s">
        <v>857</v>
      </c>
      <c r="V381" s="362">
        <v>-0.17587647932563483</v>
      </c>
    </row>
    <row r="382" spans="2:22" x14ac:dyDescent="0.2">
      <c r="U382" s="360" t="s">
        <v>857</v>
      </c>
      <c r="V382" s="362">
        <v>-0.42176870816371037</v>
      </c>
    </row>
    <row r="383" spans="2:22" x14ac:dyDescent="0.2">
      <c r="U383" s="45" t="s">
        <v>502</v>
      </c>
      <c r="V383" s="362">
        <v>4.690952500152195E-2</v>
      </c>
    </row>
    <row r="384" spans="2:22" x14ac:dyDescent="0.2">
      <c r="U384" s="361" t="s">
        <v>502</v>
      </c>
      <c r="V384" s="362">
        <v>0.1171922741031092</v>
      </c>
    </row>
    <row r="385" spans="21:22" x14ac:dyDescent="0.2">
      <c r="U385" s="360" t="s">
        <v>502</v>
      </c>
      <c r="V385" s="362">
        <v>-2.463923095073375E-2</v>
      </c>
    </row>
    <row r="386" spans="21:22" x14ac:dyDescent="0.2">
      <c r="U386" s="45" t="s">
        <v>219</v>
      </c>
      <c r="V386" s="362">
        <v>4.6751135710599544E-2</v>
      </c>
    </row>
    <row r="387" spans="21:22" x14ac:dyDescent="0.2">
      <c r="U387" s="361" t="s">
        <v>219</v>
      </c>
      <c r="V387" s="362">
        <v>5.4639993667982473E-2</v>
      </c>
    </row>
    <row r="388" spans="21:22" x14ac:dyDescent="0.2">
      <c r="U388" s="360" t="s">
        <v>219</v>
      </c>
      <c r="V388" s="362">
        <v>8.9781181423392364E-2</v>
      </c>
    </row>
    <row r="389" spans="21:22" x14ac:dyDescent="0.2">
      <c r="U389" s="45" t="s">
        <v>506</v>
      </c>
      <c r="V389" s="362">
        <v>0.12511860424317509</v>
      </c>
    </row>
    <row r="390" spans="21:22" x14ac:dyDescent="0.2">
      <c r="U390" s="361" t="s">
        <v>506</v>
      </c>
      <c r="V390" s="362">
        <v>0.16811679399265531</v>
      </c>
    </row>
    <row r="391" spans="21:22" x14ac:dyDescent="0.2">
      <c r="U391" s="360" t="s">
        <v>506</v>
      </c>
      <c r="V391" s="362">
        <v>-0.11239650130025318</v>
      </c>
    </row>
    <row r="392" spans="21:22" x14ac:dyDescent="0.2">
      <c r="U392" s="45" t="s">
        <v>131</v>
      </c>
      <c r="V392" s="362">
        <v>-3.8605482595684762E-2</v>
      </c>
    </row>
    <row r="393" spans="21:22" x14ac:dyDescent="0.2">
      <c r="U393" s="361" t="s">
        <v>131</v>
      </c>
      <c r="V393" s="362">
        <v>0.29706137025299423</v>
      </c>
    </row>
    <row r="394" spans="21:22" x14ac:dyDescent="0.2">
      <c r="U394" s="360" t="s">
        <v>131</v>
      </c>
      <c r="V394" s="362">
        <v>1.648547012050168E-2</v>
      </c>
    </row>
    <row r="395" spans="21:22" x14ac:dyDescent="0.2">
      <c r="U395" s="45" t="s">
        <v>860</v>
      </c>
      <c r="V395" s="362">
        <v>0.41766105089417616</v>
      </c>
    </row>
    <row r="396" spans="21:22" x14ac:dyDescent="0.2">
      <c r="U396" s="361" t="s">
        <v>860</v>
      </c>
      <c r="V396" s="362">
        <v>0.3108081846857963</v>
      </c>
    </row>
    <row r="397" spans="21:22" x14ac:dyDescent="0.2">
      <c r="U397" s="360" t="s">
        <v>860</v>
      </c>
      <c r="V397" s="362">
        <v>-2.2954873015670254E-3</v>
      </c>
    </row>
    <row r="398" spans="21:22" x14ac:dyDescent="0.2">
      <c r="U398" s="45" t="s">
        <v>223</v>
      </c>
      <c r="V398" s="362">
        <v>2.8730855841348317E-2</v>
      </c>
    </row>
    <row r="399" spans="21:22" x14ac:dyDescent="0.2">
      <c r="U399" s="361" t="s">
        <v>223</v>
      </c>
      <c r="V399" s="362">
        <v>1.4502368794095598E-2</v>
      </c>
    </row>
    <row r="400" spans="21:22" x14ac:dyDescent="0.2">
      <c r="U400" s="360" t="s">
        <v>223</v>
      </c>
      <c r="V400" s="362">
        <v>2.6804651530080818E-2</v>
      </c>
    </row>
    <row r="401" spans="21:22" x14ac:dyDescent="0.2">
      <c r="U401" s="45" t="s">
        <v>595</v>
      </c>
      <c r="V401" s="362">
        <v>0.11667935780588229</v>
      </c>
    </row>
    <row r="402" spans="21:22" x14ac:dyDescent="0.2">
      <c r="U402" s="361" t="s">
        <v>595</v>
      </c>
      <c r="V402" s="362">
        <v>0.18868144080918431</v>
      </c>
    </row>
    <row r="403" spans="21:22" x14ac:dyDescent="0.2">
      <c r="U403" s="360" t="s">
        <v>595</v>
      </c>
      <c r="V403" s="362">
        <v>-5.4883720931304374E-3</v>
      </c>
    </row>
    <row r="404" spans="21:22" x14ac:dyDescent="0.2">
      <c r="U404" s="45" t="s">
        <v>337</v>
      </c>
      <c r="V404" s="362">
        <v>-0.30385268570060953</v>
      </c>
    </row>
    <row r="405" spans="21:22" x14ac:dyDescent="0.2">
      <c r="U405" s="361" t="s">
        <v>337</v>
      </c>
      <c r="V405" s="362">
        <v>8.2321637165480549E-2</v>
      </c>
    </row>
    <row r="406" spans="21:22" x14ac:dyDescent="0.2">
      <c r="U406" s="360" t="s">
        <v>337</v>
      </c>
      <c r="V406" s="362">
        <v>-0.13693181646889316</v>
      </c>
    </row>
  </sheetData>
  <sortState ref="U2:V408">
    <sortCondition ref="U1"/>
  </sortState>
  <mergeCells count="4">
    <mergeCell ref="J2:L2"/>
    <mergeCell ref="P2:R2"/>
    <mergeCell ref="D2:F2"/>
    <mergeCell ref="B2:B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S411"/>
  <sheetViews>
    <sheetView topLeftCell="G4" workbookViewId="0">
      <pane ySplit="3" topLeftCell="A7" activePane="bottomLeft" state="frozen"/>
      <selection activeCell="A4" sqref="A4"/>
      <selection pane="bottomLeft" activeCell="S7" sqref="S7:S411"/>
    </sheetView>
  </sheetViews>
  <sheetFormatPr defaultRowHeight="15" x14ac:dyDescent="0.2"/>
  <cols>
    <col min="1" max="2" width="9" style="45"/>
    <col min="3" max="3" width="27.25" style="102" hidden="1" customWidth="1"/>
    <col min="4" max="4" width="16.5" style="65" bestFit="1" customWidth="1"/>
    <col min="5" max="5" width="20.625" style="65" customWidth="1"/>
    <col min="6" max="6" width="9" style="45"/>
    <col min="7" max="7" width="20" style="65" customWidth="1"/>
    <col min="8" max="8" width="19.875" style="65" customWidth="1"/>
    <col min="9" max="9" width="9" style="45"/>
    <col min="10" max="10" width="20.875" style="65" customWidth="1"/>
    <col min="11" max="11" width="21.125" style="65" customWidth="1"/>
    <col min="12" max="16384" width="9" style="45"/>
  </cols>
  <sheetData>
    <row r="2" spans="2:19" x14ac:dyDescent="0.2">
      <c r="B2" s="71" t="s">
        <v>76</v>
      </c>
      <c r="D2" s="65" t="s">
        <v>77</v>
      </c>
    </row>
    <row r="3" spans="2:19" ht="31.5" x14ac:dyDescent="0.2">
      <c r="B3" s="71" t="s">
        <v>2</v>
      </c>
      <c r="D3" s="563" t="s">
        <v>79</v>
      </c>
      <c r="E3" s="154" t="s">
        <v>78</v>
      </c>
    </row>
    <row r="4" spans="2:19" ht="31.5" x14ac:dyDescent="0.2">
      <c r="D4" s="563"/>
      <c r="E4" s="155" t="s">
        <v>99</v>
      </c>
    </row>
    <row r="5" spans="2:19" x14ac:dyDescent="0.2">
      <c r="B5" s="562" t="s">
        <v>5</v>
      </c>
      <c r="C5" s="164"/>
      <c r="D5" s="565">
        <v>2017</v>
      </c>
      <c r="E5" s="566"/>
      <c r="F5" s="567"/>
      <c r="G5" s="569">
        <v>2018</v>
      </c>
      <c r="H5" s="569"/>
      <c r="I5" s="569"/>
      <c r="J5" s="568">
        <v>2019</v>
      </c>
      <c r="K5" s="568"/>
      <c r="L5" s="568"/>
    </row>
    <row r="6" spans="2:19" s="102" customFormat="1" ht="30" x14ac:dyDescent="0.2">
      <c r="B6" s="562"/>
      <c r="C6" s="157" t="s">
        <v>6</v>
      </c>
      <c r="D6" s="158" t="s">
        <v>80</v>
      </c>
      <c r="E6" s="158" t="s">
        <v>100</v>
      </c>
      <c r="F6" s="159" t="s">
        <v>81</v>
      </c>
      <c r="G6" s="160" t="s">
        <v>80</v>
      </c>
      <c r="H6" s="160" t="s">
        <v>100</v>
      </c>
      <c r="I6" s="161" t="s">
        <v>81</v>
      </c>
      <c r="J6" s="162" t="s">
        <v>80</v>
      </c>
      <c r="K6" s="162" t="s">
        <v>100</v>
      </c>
      <c r="L6" s="163" t="s">
        <v>81</v>
      </c>
      <c r="R6" s="45"/>
      <c r="S6" s="45"/>
    </row>
    <row r="7" spans="2:19" x14ac:dyDescent="0.2">
      <c r="B7" s="41" t="str">
        <f>Z!B4</f>
        <v>AALI</v>
      </c>
      <c r="C7" s="42" t="str">
        <f>Z!C4</f>
        <v>ASTRA AGRO LESTARI</v>
      </c>
      <c r="D7" s="43">
        <v>933423000000</v>
      </c>
      <c r="E7" s="43">
        <v>2938505000000</v>
      </c>
      <c r="F7" s="48">
        <f t="shared" ref="F7:F72" si="0">D7/E7</f>
        <v>0.31765234362371342</v>
      </c>
      <c r="G7" s="43">
        <v>1090792000000</v>
      </c>
      <c r="H7" s="43">
        <v>2207080000000</v>
      </c>
      <c r="I7" s="48">
        <f>G7/H7</f>
        <v>0.49422404262645669</v>
      </c>
      <c r="J7" s="43">
        <v>233349000000</v>
      </c>
      <c r="K7" s="43">
        <v>660860000000</v>
      </c>
      <c r="L7" s="48">
        <f>J7/K7</f>
        <v>0.35309899222225583</v>
      </c>
      <c r="N7" s="564" t="s">
        <v>344</v>
      </c>
      <c r="O7" s="564"/>
      <c r="P7" s="564"/>
      <c r="R7" s="45" t="s">
        <v>15</v>
      </c>
      <c r="S7" s="45">
        <v>0.31765234362371342</v>
      </c>
    </row>
    <row r="8" spans="2:19" x14ac:dyDescent="0.2">
      <c r="B8" s="41" t="str">
        <f>Z!B5</f>
        <v>BISI</v>
      </c>
      <c r="C8" s="42" t="str">
        <f>Z!C5</f>
        <v>BISI INTERNATIONAL</v>
      </c>
      <c r="D8" s="43">
        <v>132536000000</v>
      </c>
      <c r="E8" s="43">
        <v>519197000000</v>
      </c>
      <c r="F8" s="48">
        <f t="shared" si="0"/>
        <v>0.25527112059584317</v>
      </c>
      <c r="G8" s="43">
        <v>125607000000</v>
      </c>
      <c r="H8" s="43">
        <v>505499000000</v>
      </c>
      <c r="I8" s="48">
        <f t="shared" ref="I8:I68" si="1">G8/H8</f>
        <v>0.24848120372147126</v>
      </c>
      <c r="J8" s="43">
        <v>131563000000</v>
      </c>
      <c r="K8" s="43">
        <v>404771000000</v>
      </c>
      <c r="L8" s="48">
        <f t="shared" ref="L8:L71" si="2">J8/K8</f>
        <v>0.32503069636905807</v>
      </c>
      <c r="N8" s="44">
        <v>13548</v>
      </c>
      <c r="O8" s="44">
        <v>14500</v>
      </c>
      <c r="P8" s="44">
        <v>14001</v>
      </c>
      <c r="R8" s="359" t="s">
        <v>15</v>
      </c>
      <c r="S8" s="45">
        <v>0.49422404262645669</v>
      </c>
    </row>
    <row r="9" spans="2:19" x14ac:dyDescent="0.2">
      <c r="B9" s="41" t="str">
        <f>Z!B6</f>
        <v>UNSP</v>
      </c>
      <c r="C9" s="42" t="str">
        <f>Z!C6</f>
        <v>BAKRIE SUMATERA PLANTATIONS</v>
      </c>
      <c r="D9" s="43">
        <v>115077000000</v>
      </c>
      <c r="E9" s="43">
        <v>-1218203000000</v>
      </c>
      <c r="F9" s="48">
        <f t="shared" si="0"/>
        <v>-9.4464551474590028E-2</v>
      </c>
      <c r="G9" s="43">
        <v>40121000000</v>
      </c>
      <c r="H9" s="43">
        <v>-1962444000000</v>
      </c>
      <c r="I9" s="48">
        <f t="shared" si="1"/>
        <v>-2.0444405037799804E-2</v>
      </c>
      <c r="J9" s="43">
        <v>26199000000</v>
      </c>
      <c r="K9" s="43">
        <v>-4811327000000</v>
      </c>
      <c r="L9" s="48">
        <f t="shared" si="2"/>
        <v>-5.4452752847603163E-3</v>
      </c>
      <c r="R9" s="93" t="s">
        <v>15</v>
      </c>
      <c r="S9" s="45">
        <v>0.35309899222225583</v>
      </c>
    </row>
    <row r="10" spans="2:19" x14ac:dyDescent="0.2">
      <c r="B10" s="41" t="str">
        <f>Z!B7</f>
        <v>BWPT</v>
      </c>
      <c r="C10" s="42" t="str">
        <f>Z!C7</f>
        <v>PT EAGLE HIGH PLANTATIONS</v>
      </c>
      <c r="D10" s="43">
        <v>50320000000</v>
      </c>
      <c r="E10" s="43">
        <v>-166093000000</v>
      </c>
      <c r="F10" s="48">
        <f t="shared" si="0"/>
        <v>-0.30296279795054576</v>
      </c>
      <c r="G10" s="43">
        <v>70872000000</v>
      </c>
      <c r="H10" s="43">
        <v>-553955000000</v>
      </c>
      <c r="I10" s="48">
        <f t="shared" si="1"/>
        <v>-0.12793818992517442</v>
      </c>
      <c r="J10" s="43">
        <v>15277000000</v>
      </c>
      <c r="K10" s="43">
        <v>-1444060000000</v>
      </c>
      <c r="L10" s="48">
        <f t="shared" si="2"/>
        <v>-1.0579200310236417E-2</v>
      </c>
      <c r="R10" s="40" t="s">
        <v>718</v>
      </c>
      <c r="S10" s="40">
        <v>1.0896535050610114</v>
      </c>
    </row>
    <row r="11" spans="2:19" x14ac:dyDescent="0.2">
      <c r="B11" s="41" t="str">
        <f>Z!B8</f>
        <v>DSNG</v>
      </c>
      <c r="C11" s="42" t="str">
        <f>Z!C8</f>
        <v>DHARMA SATYA NUSANTARA</v>
      </c>
      <c r="D11" s="43">
        <v>139854000000</v>
      </c>
      <c r="E11" s="43">
        <v>946757000000</v>
      </c>
      <c r="F11" s="48">
        <f t="shared" si="0"/>
        <v>0.14771900286979658</v>
      </c>
      <c r="G11" s="43">
        <v>303778000000</v>
      </c>
      <c r="H11" s="43">
        <v>611264000000</v>
      </c>
      <c r="I11" s="48">
        <f t="shared" si="1"/>
        <v>0.49696694063448854</v>
      </c>
      <c r="J11" s="43">
        <v>309941000000</v>
      </c>
      <c r="K11" s="43">
        <v>280084000000</v>
      </c>
      <c r="L11" s="48">
        <f t="shared" si="2"/>
        <v>1.1066001628083004</v>
      </c>
      <c r="R11" s="364" t="s">
        <v>718</v>
      </c>
      <c r="S11" s="40">
        <v>0.42687054888606041</v>
      </c>
    </row>
    <row r="12" spans="2:19" ht="30" x14ac:dyDescent="0.2">
      <c r="B12" s="41" t="str">
        <f>Z!B9</f>
        <v>LSIP</v>
      </c>
      <c r="C12" s="42" t="str">
        <f>Z!C9</f>
        <v>PT PP LONDON SUMATERA INDONESIA</v>
      </c>
      <c r="D12" s="43">
        <v>270181000000</v>
      </c>
      <c r="E12" s="43">
        <v>1006236000000</v>
      </c>
      <c r="F12" s="48">
        <f t="shared" si="0"/>
        <v>0.26850659288675816</v>
      </c>
      <c r="G12" s="43">
        <v>203071000000</v>
      </c>
      <c r="H12" s="43">
        <v>417052000000</v>
      </c>
      <c r="I12" s="48">
        <f t="shared" si="1"/>
        <v>0.48692009629494643</v>
      </c>
      <c r="J12" s="43">
        <v>47316000000</v>
      </c>
      <c r="K12" s="43">
        <v>352743000000</v>
      </c>
      <c r="L12" s="48">
        <f t="shared" si="2"/>
        <v>0.13413731810411547</v>
      </c>
      <c r="R12" s="365" t="s">
        <v>718</v>
      </c>
      <c r="S12" s="40">
        <v>1.4545163621293908</v>
      </c>
    </row>
    <row r="13" spans="2:19" x14ac:dyDescent="0.2">
      <c r="B13" s="41" t="str">
        <f>Z!B10</f>
        <v>SGRO</v>
      </c>
      <c r="C13" s="42" t="str">
        <f>Z!C10</f>
        <v>SAMPOERNA AGRO TBK</v>
      </c>
      <c r="D13" s="43">
        <v>121138416000</v>
      </c>
      <c r="E13" s="43">
        <v>481330943000</v>
      </c>
      <c r="F13" s="48">
        <f t="shared" si="0"/>
        <v>0.25167385924739938</v>
      </c>
      <c r="G13" s="43">
        <v>186973361000</v>
      </c>
      <c r="H13" s="43">
        <v>143050457000</v>
      </c>
      <c r="I13" s="48">
        <f t="shared" si="1"/>
        <v>1.3070448352360036</v>
      </c>
      <c r="J13" s="43">
        <v>106300968000</v>
      </c>
      <c r="K13" s="43">
        <v>173943680000</v>
      </c>
      <c r="L13" s="48">
        <f t="shared" si="2"/>
        <v>0.61112291058807078</v>
      </c>
      <c r="R13" s="40" t="s">
        <v>598</v>
      </c>
      <c r="S13" s="40">
        <v>2.7549035241588263E-2</v>
      </c>
    </row>
    <row r="14" spans="2:19" x14ac:dyDescent="0.2">
      <c r="B14" s="41" t="str">
        <f>Z!B11</f>
        <v>SIMP</v>
      </c>
      <c r="C14" s="42" t="str">
        <f>Z!C11</f>
        <v>SALIM IVOMAS PRATAMA Tbk</v>
      </c>
      <c r="D14" s="43">
        <v>689776000000</v>
      </c>
      <c r="E14" s="43">
        <v>1193869000000</v>
      </c>
      <c r="F14" s="48">
        <f t="shared" si="0"/>
        <v>0.57776523219884257</v>
      </c>
      <c r="G14" s="43">
        <v>562117000000</v>
      </c>
      <c r="H14" s="43">
        <v>206722000000</v>
      </c>
      <c r="I14" s="48">
        <f t="shared" si="1"/>
        <v>2.7191929257650371</v>
      </c>
      <c r="J14" s="43">
        <v>307806000000</v>
      </c>
      <c r="K14" s="43">
        <v>-197149000000</v>
      </c>
      <c r="L14" s="48">
        <f t="shared" si="2"/>
        <v>-1.5612861338378587</v>
      </c>
      <c r="R14" s="364" t="s">
        <v>598</v>
      </c>
      <c r="S14" s="40">
        <v>7.5349717176836418E-4</v>
      </c>
    </row>
    <row r="15" spans="2:19" x14ac:dyDescent="0.2">
      <c r="B15" s="41" t="str">
        <f>Z!B12</f>
        <v>SSMS</v>
      </c>
      <c r="C15" s="42" t="str">
        <f>Z!C12</f>
        <v>SAWIT SUMBERMAS SARANA</v>
      </c>
      <c r="D15" s="43">
        <v>299255062000</v>
      </c>
      <c r="E15" s="43">
        <v>591658772000</v>
      </c>
      <c r="F15" s="48">
        <f t="shared" si="0"/>
        <v>0.50578995218548028</v>
      </c>
      <c r="G15" s="43">
        <v>412427460000</v>
      </c>
      <c r="H15" s="43">
        <v>340868812000</v>
      </c>
      <c r="I15" s="48">
        <f t="shared" si="1"/>
        <v>1.2099301710242707</v>
      </c>
      <c r="J15" s="43">
        <v>295782473000</v>
      </c>
      <c r="K15" s="43">
        <v>154592621000</v>
      </c>
      <c r="L15" s="48">
        <f t="shared" si="2"/>
        <v>1.9133026601573693</v>
      </c>
      <c r="R15" s="365" t="s">
        <v>598</v>
      </c>
      <c r="S15" s="40">
        <v>1.0942008369027657E-3</v>
      </c>
    </row>
    <row r="16" spans="2:19" x14ac:dyDescent="0.2">
      <c r="B16" s="41" t="str">
        <f>Z!B13</f>
        <v>BUDI</v>
      </c>
      <c r="C16" s="42" t="str">
        <f>Z!C13</f>
        <v>BUDI STARCH &amp; SWEETENER</v>
      </c>
      <c r="D16" s="43">
        <v>5362000000</v>
      </c>
      <c r="E16" s="43">
        <v>61016000000</v>
      </c>
      <c r="F16" s="48">
        <f t="shared" si="0"/>
        <v>8.7878589222499012E-2</v>
      </c>
      <c r="G16" s="43">
        <v>25799000000</v>
      </c>
      <c r="H16" s="43">
        <v>71781000000</v>
      </c>
      <c r="I16" s="48">
        <f t="shared" si="1"/>
        <v>0.35941265794569593</v>
      </c>
      <c r="J16" s="43">
        <v>15448000000</v>
      </c>
      <c r="K16" s="43">
        <v>83905000000</v>
      </c>
      <c r="L16" s="48">
        <f t="shared" si="2"/>
        <v>0.18411298492342532</v>
      </c>
      <c r="R16" s="45" t="s">
        <v>340</v>
      </c>
      <c r="S16" s="45">
        <v>0.5545398701065376</v>
      </c>
    </row>
    <row r="17" spans="2:19" x14ac:dyDescent="0.2">
      <c r="B17" s="41" t="str">
        <f>Z!B14</f>
        <v>CEKA</v>
      </c>
      <c r="C17" s="42" t="str">
        <f>Z!C14</f>
        <v>WILMAR CAHAYA INDONESIA</v>
      </c>
      <c r="D17" s="43">
        <v>48635458386</v>
      </c>
      <c r="E17" s="43">
        <v>143195939366</v>
      </c>
      <c r="F17" s="48">
        <f t="shared" si="0"/>
        <v>0.3396427203266621</v>
      </c>
      <c r="G17" s="43">
        <v>51024771845</v>
      </c>
      <c r="H17" s="43">
        <v>123394812359</v>
      </c>
      <c r="I17" s="48">
        <f t="shared" si="1"/>
        <v>0.4135082413071835</v>
      </c>
      <c r="J17" s="43">
        <v>51024771845</v>
      </c>
      <c r="K17" s="43">
        <v>285132249695</v>
      </c>
      <c r="L17" s="48">
        <f t="shared" si="2"/>
        <v>0.17895124770901968</v>
      </c>
      <c r="R17" s="359" t="s">
        <v>340</v>
      </c>
      <c r="S17" s="45">
        <v>0.49618269472032817</v>
      </c>
    </row>
    <row r="18" spans="2:19" x14ac:dyDescent="0.2">
      <c r="B18" s="41" t="str">
        <f>Z!B15</f>
        <v>DVLA</v>
      </c>
      <c r="C18" s="42" t="str">
        <f>Z!C15</f>
        <v>DARYA VARIA LABORATORIA</v>
      </c>
      <c r="D18" s="43">
        <v>53649116000</v>
      </c>
      <c r="E18" s="43">
        <v>226147921000</v>
      </c>
      <c r="F18" s="48">
        <f t="shared" si="0"/>
        <v>0.23723019766341341</v>
      </c>
      <c r="G18" s="43">
        <v>76348303000</v>
      </c>
      <c r="H18" s="43">
        <v>200651968000</v>
      </c>
      <c r="I18" s="48">
        <f t="shared" si="1"/>
        <v>0.38050114215675174</v>
      </c>
      <c r="J18" s="43">
        <v>79897505000</v>
      </c>
      <c r="K18" s="43">
        <v>301250035000</v>
      </c>
      <c r="L18" s="48">
        <f t="shared" si="2"/>
        <v>0.26521990279602792</v>
      </c>
      <c r="R18" s="93" t="s">
        <v>340</v>
      </c>
      <c r="S18" s="45">
        <v>0.4656980775387155</v>
      </c>
    </row>
    <row r="19" spans="2:19" x14ac:dyDescent="0.2">
      <c r="B19" s="41" t="str">
        <f>Z!B16</f>
        <v>GGRM</v>
      </c>
      <c r="C19" s="42" t="str">
        <f>Z!C16</f>
        <v>PT GUDANG GARAM</v>
      </c>
      <c r="D19" s="43">
        <v>2638900000000</v>
      </c>
      <c r="E19" s="43">
        <v>10436512000000</v>
      </c>
      <c r="F19" s="48">
        <f t="shared" si="0"/>
        <v>0.25285267721629601</v>
      </c>
      <c r="G19" s="43">
        <v>2897496000000</v>
      </c>
      <c r="H19" s="43">
        <v>10479242000000</v>
      </c>
      <c r="I19" s="48">
        <f t="shared" si="1"/>
        <v>0.27649862461426122</v>
      </c>
      <c r="J19" s="43">
        <v>3204640000000</v>
      </c>
      <c r="K19" s="43">
        <v>14487736000000</v>
      </c>
      <c r="L19" s="48">
        <f t="shared" si="2"/>
        <v>0.22119674185117674</v>
      </c>
      <c r="R19" s="45" t="s">
        <v>723</v>
      </c>
      <c r="S19" s="45">
        <v>0.51807717661655306</v>
      </c>
    </row>
    <row r="20" spans="2:19" ht="30" x14ac:dyDescent="0.2">
      <c r="B20" s="41" t="str">
        <f>Z!B17</f>
        <v>HMSP</v>
      </c>
      <c r="C20" s="42" t="str">
        <f>Z!C17</f>
        <v>PT HANJAYA MANDALA SAMPOERNA</v>
      </c>
      <c r="D20" s="43">
        <v>4337944000000</v>
      </c>
      <c r="E20" s="43">
        <v>16894806000000</v>
      </c>
      <c r="F20" s="48">
        <f t="shared" si="0"/>
        <v>0.25676198945403694</v>
      </c>
      <c r="G20" s="43">
        <v>4412498000000</v>
      </c>
      <c r="H20" s="43">
        <v>17961269000000</v>
      </c>
      <c r="I20" s="48">
        <f t="shared" si="1"/>
        <v>0.24566738575097338</v>
      </c>
      <c r="J20" s="43">
        <v>4630741000000</v>
      </c>
      <c r="K20" s="43">
        <v>18259423000000</v>
      </c>
      <c r="L20" s="48">
        <f t="shared" si="2"/>
        <v>0.25360828762223209</v>
      </c>
      <c r="R20" s="359" t="s">
        <v>723</v>
      </c>
      <c r="S20" s="45">
        <v>0.64139529427256359</v>
      </c>
    </row>
    <row r="21" spans="2:19" x14ac:dyDescent="0.2">
      <c r="B21" s="41" t="str">
        <f>Z!B18</f>
        <v>ICBP</v>
      </c>
      <c r="C21" s="42" t="str">
        <f>Z!C18</f>
        <v>INDOFOOD CBP SUKSES MAKMUR</v>
      </c>
      <c r="D21" s="43">
        <v>1862383000000</v>
      </c>
      <c r="E21" s="43">
        <v>5206561000000</v>
      </c>
      <c r="F21" s="48">
        <f t="shared" si="0"/>
        <v>0.35769925676468595</v>
      </c>
      <c r="G21" s="43">
        <v>2005525000000</v>
      </c>
      <c r="H21" s="43">
        <v>6446785000000</v>
      </c>
      <c r="I21" s="48">
        <f t="shared" si="1"/>
        <v>0.31108917080374171</v>
      </c>
      <c r="J21" s="43">
        <v>1615934000000</v>
      </c>
      <c r="K21" s="43">
        <v>7400117000000</v>
      </c>
      <c r="L21" s="48">
        <f t="shared" si="2"/>
        <v>0.2183660069158366</v>
      </c>
      <c r="R21" s="93" t="s">
        <v>723</v>
      </c>
      <c r="S21" s="45">
        <v>0.64678419590020797</v>
      </c>
    </row>
    <row r="22" spans="2:19" x14ac:dyDescent="0.2">
      <c r="B22" s="41" t="str">
        <f>Z!B19</f>
        <v>INDF</v>
      </c>
      <c r="C22" s="42" t="str">
        <f>Z!C19</f>
        <v>PT INDOFOOD SUKSES MAKMUR</v>
      </c>
      <c r="D22" s="43">
        <v>3422799000000</v>
      </c>
      <c r="E22" s="43">
        <v>7658554000000</v>
      </c>
      <c r="F22" s="48">
        <f t="shared" si="0"/>
        <v>0.44692496782029612</v>
      </c>
      <c r="G22" s="43">
        <v>3460973000000</v>
      </c>
      <c r="H22" s="43">
        <v>7446966000000</v>
      </c>
      <c r="I22" s="48">
        <f t="shared" si="1"/>
        <v>0.46474940264263326</v>
      </c>
      <c r="J22" s="43">
        <v>2361672000000</v>
      </c>
      <c r="K22" s="43">
        <v>8749397000000</v>
      </c>
      <c r="L22" s="48">
        <f t="shared" si="2"/>
        <v>0.26992397304637106</v>
      </c>
      <c r="R22" s="40" t="s">
        <v>402</v>
      </c>
      <c r="S22" s="40">
        <v>0.95132805988457125</v>
      </c>
    </row>
    <row r="23" spans="2:19" x14ac:dyDescent="0.2">
      <c r="B23" s="41" t="str">
        <f>Z!B20</f>
        <v>KICI</v>
      </c>
      <c r="C23" s="42" t="str">
        <f>Z!C20</f>
        <v>PT KEDAUNG INDAH CAN</v>
      </c>
      <c r="D23" s="43">
        <v>1241154198</v>
      </c>
      <c r="E23" s="43">
        <v>10638117951</v>
      </c>
      <c r="F23" s="48">
        <f t="shared" si="0"/>
        <v>0.11667046781365396</v>
      </c>
      <c r="G23" s="43">
        <v>995013379</v>
      </c>
      <c r="H23" s="43">
        <v>-1112421557</v>
      </c>
      <c r="I23" s="48">
        <f t="shared" si="1"/>
        <v>-0.89445711721316457</v>
      </c>
      <c r="J23" s="43">
        <v>473219375</v>
      </c>
      <c r="K23" s="43">
        <v>-4193649233</v>
      </c>
      <c r="L23" s="48">
        <f t="shared" si="2"/>
        <v>-0.11284190658489439</v>
      </c>
      <c r="R23" s="364" t="s">
        <v>402</v>
      </c>
      <c r="S23" s="40">
        <v>6.5109084406294704</v>
      </c>
    </row>
    <row r="24" spans="2:19" x14ac:dyDescent="0.2">
      <c r="B24" s="41" t="str">
        <f>Z!B21</f>
        <v>KLBF</v>
      </c>
      <c r="C24" s="42" t="str">
        <f>Z!C21</f>
        <v>PT KALBE FARMA</v>
      </c>
      <c r="D24" s="43">
        <v>782316500559</v>
      </c>
      <c r="E24" s="43">
        <v>3241186725992</v>
      </c>
      <c r="F24" s="48">
        <f t="shared" si="0"/>
        <v>0.24136730361301958</v>
      </c>
      <c r="G24" s="43">
        <v>838106813718</v>
      </c>
      <c r="H24" s="43">
        <v>3306399669021</v>
      </c>
      <c r="I24" s="48">
        <f t="shared" si="1"/>
        <v>0.25348018921322873</v>
      </c>
      <c r="J24" s="43">
        <v>839509478376</v>
      </c>
      <c r="K24" s="43">
        <v>3402616824533</v>
      </c>
      <c r="L24" s="48">
        <f t="shared" si="2"/>
        <v>0.24672465977453115</v>
      </c>
      <c r="R24" s="365" t="s">
        <v>402</v>
      </c>
      <c r="S24" s="40">
        <v>-0.20451144784343531</v>
      </c>
    </row>
    <row r="25" spans="2:19" x14ac:dyDescent="0.2">
      <c r="B25" s="41" t="str">
        <f>Z!B22</f>
        <v>MBTO</v>
      </c>
      <c r="C25" s="42" t="str">
        <f>Z!C22</f>
        <v>PT MARTINA BERTO</v>
      </c>
      <c r="D25" s="43">
        <v>17310983095</v>
      </c>
      <c r="E25" s="43">
        <v>-31658218720</v>
      </c>
      <c r="F25" s="48">
        <f t="shared" si="0"/>
        <v>-0.54680850012776716</v>
      </c>
      <c r="G25" s="43">
        <v>2057344414</v>
      </c>
      <c r="H25" s="43">
        <v>-155155168378</v>
      </c>
      <c r="I25" s="48">
        <f t="shared" si="1"/>
        <v>-1.3259915447919542E-2</v>
      </c>
      <c r="J25" s="43">
        <v>11264696524</v>
      </c>
      <c r="K25" s="43">
        <v>88263038281</v>
      </c>
      <c r="L25" s="48">
        <f t="shared" si="2"/>
        <v>0.12762643053524822</v>
      </c>
      <c r="R25" s="45" t="s">
        <v>727</v>
      </c>
      <c r="S25" s="45">
        <v>0.51235636253022221</v>
      </c>
    </row>
    <row r="26" spans="2:19" x14ac:dyDescent="0.2">
      <c r="B26" s="41" t="str">
        <f>Z!B23</f>
        <v>KINO</v>
      </c>
      <c r="C26" s="42" t="str">
        <f>Z!C23</f>
        <v>PT KINO INDONESIA</v>
      </c>
      <c r="D26" s="43">
        <v>54442838200</v>
      </c>
      <c r="E26" s="43">
        <v>140964951060</v>
      </c>
      <c r="F26" s="48">
        <f t="shared" si="0"/>
        <v>0.38621542298714434</v>
      </c>
      <c r="G26" s="43">
        <v>34557803047</v>
      </c>
      <c r="H26" s="43">
        <v>200385373873</v>
      </c>
      <c r="I26" s="48">
        <f t="shared" si="1"/>
        <v>0.17245671367662793</v>
      </c>
      <c r="J26" s="43">
        <v>108800715984</v>
      </c>
      <c r="K26" s="43">
        <v>636096776179</v>
      </c>
      <c r="L26" s="48">
        <f t="shared" si="2"/>
        <v>0.17104428140252526</v>
      </c>
      <c r="R26" s="359" t="s">
        <v>727</v>
      </c>
      <c r="S26" s="45">
        <v>0.21923215754021019</v>
      </c>
    </row>
    <row r="27" spans="2:19" x14ac:dyDescent="0.2">
      <c r="B27" s="41" t="str">
        <f>Z!B24</f>
        <v>MLBI</v>
      </c>
      <c r="C27" s="42" t="str">
        <f>Z!C24</f>
        <v>PT MULTI BINTANG INDONESIA</v>
      </c>
      <c r="D27" s="43">
        <v>336826000000</v>
      </c>
      <c r="E27" s="43">
        <v>1525929000000</v>
      </c>
      <c r="F27" s="48">
        <f t="shared" si="0"/>
        <v>0.22073504075222372</v>
      </c>
      <c r="G27" s="43">
        <v>350361000000</v>
      </c>
      <c r="H27" s="43">
        <v>1581902000000</v>
      </c>
      <c r="I27" s="48">
        <f t="shared" si="1"/>
        <v>0.22148085026758926</v>
      </c>
      <c r="J27" s="43">
        <v>310860000000</v>
      </c>
      <c r="K27" s="43">
        <v>1371143000000</v>
      </c>
      <c r="L27" s="48">
        <f t="shared" si="2"/>
        <v>0.22671595887518661</v>
      </c>
      <c r="R27" s="93" t="s">
        <v>727</v>
      </c>
      <c r="S27" s="45">
        <v>0.16563541596453121</v>
      </c>
    </row>
    <row r="28" spans="2:19" x14ac:dyDescent="0.2">
      <c r="B28" s="41" t="str">
        <f>Z!B25</f>
        <v>MRAT</v>
      </c>
      <c r="C28" s="42" t="str">
        <f>Z!C25</f>
        <v>PT MUSTIKA RATU</v>
      </c>
      <c r="D28" s="43">
        <v>393581523</v>
      </c>
      <c r="E28" s="43">
        <v>-1355570984</v>
      </c>
      <c r="F28" s="48">
        <f t="shared" si="0"/>
        <v>-0.29034372057642094</v>
      </c>
      <c r="G28" s="43">
        <v>4243478276</v>
      </c>
      <c r="H28" s="43">
        <v>1877100535</v>
      </c>
      <c r="I28" s="48">
        <f t="shared" si="1"/>
        <v>2.2606558342917951</v>
      </c>
      <c r="J28" s="43">
        <v>1486899686</v>
      </c>
      <c r="K28" s="43">
        <v>2429538219</v>
      </c>
      <c r="L28" s="48">
        <f t="shared" si="2"/>
        <v>0.61200917704106306</v>
      </c>
      <c r="R28" s="45" t="s">
        <v>345</v>
      </c>
      <c r="S28" s="45">
        <v>0.43123125651374922</v>
      </c>
    </row>
    <row r="29" spans="2:19" x14ac:dyDescent="0.2">
      <c r="B29" s="41" t="str">
        <f>Z!B26</f>
        <v>MYOR</v>
      </c>
      <c r="C29" s="42" t="str">
        <f>Z!C26</f>
        <v>PT MAYORA INDAH</v>
      </c>
      <c r="D29" s="43">
        <v>588474260121</v>
      </c>
      <c r="E29" s="43">
        <v>2186884603474</v>
      </c>
      <c r="F29" s="48">
        <f t="shared" si="0"/>
        <v>0.26909250684108921</v>
      </c>
      <c r="G29" s="43">
        <v>723570678622</v>
      </c>
      <c r="H29" s="43">
        <v>2381942198855</v>
      </c>
      <c r="I29" s="48">
        <f t="shared" si="1"/>
        <v>0.30377339927468455</v>
      </c>
      <c r="J29" s="43">
        <v>547269067440</v>
      </c>
      <c r="K29" s="43">
        <v>2704466581011</v>
      </c>
      <c r="L29" s="48">
        <f t="shared" si="2"/>
        <v>0.20235748937796694</v>
      </c>
      <c r="R29" s="359" t="s">
        <v>345</v>
      </c>
      <c r="S29" s="45">
        <v>0.27387302380928413</v>
      </c>
    </row>
    <row r="30" spans="2:19" ht="30" x14ac:dyDescent="0.2">
      <c r="B30" s="41" t="str">
        <f>Z!B27</f>
        <v>RMBA</v>
      </c>
      <c r="C30" s="42" t="str">
        <f>Z!C27</f>
        <v>PT BENTOEL INTERNASIONAL INVESTAMA</v>
      </c>
      <c r="D30" s="43">
        <v>391141000000</v>
      </c>
      <c r="E30" s="43">
        <v>-400127000000</v>
      </c>
      <c r="F30" s="48">
        <f t="shared" si="0"/>
        <v>-0.97754213037360638</v>
      </c>
      <c r="G30" s="43">
        <v>284944000000</v>
      </c>
      <c r="H30" s="43">
        <v>-324590000000</v>
      </c>
      <c r="I30" s="48">
        <f t="shared" si="1"/>
        <v>-0.8778582211405157</v>
      </c>
      <c r="J30" s="43">
        <v>14712000000</v>
      </c>
      <c r="K30" s="43">
        <v>29138000000</v>
      </c>
      <c r="L30" s="48">
        <f t="shared" si="2"/>
        <v>0.50490768069187997</v>
      </c>
      <c r="R30" s="93" t="s">
        <v>345</v>
      </c>
      <c r="S30" s="45">
        <v>1.0690368123572471</v>
      </c>
    </row>
    <row r="31" spans="2:19" x14ac:dyDescent="0.2">
      <c r="B31" s="41" t="str">
        <f>Z!B28</f>
        <v>ROTI</v>
      </c>
      <c r="C31" s="42" t="str">
        <f>Z!C28</f>
        <v>PT NIPPON INDOSARI CORPINDO</v>
      </c>
      <c r="D31" s="43">
        <v>49102534677</v>
      </c>
      <c r="E31" s="43">
        <v>186147334530</v>
      </c>
      <c r="F31" s="48">
        <f t="shared" si="0"/>
        <v>0.26378317369398863</v>
      </c>
      <c r="G31" s="43">
        <v>20320139824</v>
      </c>
      <c r="H31" s="43">
        <v>186936324915</v>
      </c>
      <c r="I31" s="48">
        <f t="shared" si="1"/>
        <v>0.10870086289135926</v>
      </c>
      <c r="J31" s="43">
        <v>55180972607</v>
      </c>
      <c r="K31" s="43">
        <v>347098820613</v>
      </c>
      <c r="L31" s="48">
        <f t="shared" si="2"/>
        <v>0.15897770124815369</v>
      </c>
      <c r="R31" s="45" t="s">
        <v>605</v>
      </c>
      <c r="S31" s="45">
        <v>0.13580667797136081</v>
      </c>
    </row>
    <row r="32" spans="2:19" ht="30" x14ac:dyDescent="0.2">
      <c r="B32" s="41" t="str">
        <f>Z!B29</f>
        <v>SIDO</v>
      </c>
      <c r="C32" s="42" t="str">
        <f>Z!C29</f>
        <v>PT INDUSTRI JAMU DAN FARMASI SIDO MUNCUL</v>
      </c>
      <c r="D32" s="43">
        <v>147330000000</v>
      </c>
      <c r="E32" s="43">
        <v>681889000000</v>
      </c>
      <c r="F32" s="48">
        <f t="shared" si="0"/>
        <v>0.21606155840613356</v>
      </c>
      <c r="G32" s="43">
        <v>189738000000</v>
      </c>
      <c r="H32" s="43">
        <v>867837000000</v>
      </c>
      <c r="I32" s="48">
        <f t="shared" si="1"/>
        <v>0.21863322259825291</v>
      </c>
      <c r="J32" s="43">
        <v>222621000000</v>
      </c>
      <c r="K32" s="43">
        <v>1073835000000</v>
      </c>
      <c r="L32" s="48">
        <f t="shared" si="2"/>
        <v>0.20731397281705291</v>
      </c>
      <c r="R32" s="359" t="s">
        <v>605</v>
      </c>
      <c r="S32" s="45">
        <v>0.75317873235569488</v>
      </c>
    </row>
    <row r="33" spans="2:19" x14ac:dyDescent="0.2">
      <c r="B33" s="41" t="str">
        <f>Z!B30</f>
        <v>TBLA</v>
      </c>
      <c r="C33" s="42" t="str">
        <f>Z!C30</f>
        <v>PT TUNAS BARU LAMPUNG</v>
      </c>
      <c r="D33" s="43">
        <v>190048000000</v>
      </c>
      <c r="E33" s="43">
        <v>1244596000000</v>
      </c>
      <c r="F33" s="48">
        <f t="shared" si="0"/>
        <v>0.15269854635560454</v>
      </c>
      <c r="G33" s="43">
        <v>193177000000</v>
      </c>
      <c r="H33" s="43">
        <v>1043045000000</v>
      </c>
      <c r="I33" s="48">
        <f t="shared" si="1"/>
        <v>0.18520485693330585</v>
      </c>
      <c r="J33" s="43">
        <v>133094000000</v>
      </c>
      <c r="K33" s="43">
        <v>905158000000</v>
      </c>
      <c r="L33" s="48">
        <f t="shared" si="2"/>
        <v>0.14703952238172782</v>
      </c>
      <c r="R33" s="93" t="s">
        <v>605</v>
      </c>
      <c r="S33" s="45">
        <v>1.430103900242635</v>
      </c>
    </row>
    <row r="34" spans="2:19" x14ac:dyDescent="0.2">
      <c r="B34" s="41" t="str">
        <f>Z!B31</f>
        <v>TCID</v>
      </c>
      <c r="C34" s="42" t="str">
        <f>Z!C31</f>
        <v>PT MANDOM INDONESIA</v>
      </c>
      <c r="D34" s="43">
        <v>66616537948</v>
      </c>
      <c r="E34" s="43">
        <v>243083045787</v>
      </c>
      <c r="F34" s="48">
        <f t="shared" si="0"/>
        <v>0.27404847480137434</v>
      </c>
      <c r="G34" s="43">
        <v>78201157875</v>
      </c>
      <c r="H34" s="43">
        <v>234625954664</v>
      </c>
      <c r="I34" s="48">
        <f t="shared" si="1"/>
        <v>0.33330139449827395</v>
      </c>
      <c r="J34" s="43">
        <v>50295267261</v>
      </c>
      <c r="K34" s="43">
        <v>200992358094</v>
      </c>
      <c r="L34" s="48">
        <f t="shared" si="2"/>
        <v>0.25023472403601504</v>
      </c>
      <c r="R34" s="40" t="s">
        <v>514</v>
      </c>
      <c r="S34" s="40">
        <v>4.5088231207447545E-2</v>
      </c>
    </row>
    <row r="35" spans="2:19" x14ac:dyDescent="0.2">
      <c r="B35" s="41" t="str">
        <f>Z!B32</f>
        <v>TSPC</v>
      </c>
      <c r="C35" s="42" t="str">
        <f>Z!C32</f>
        <v>PT TEMPO SCAN PACIFIC</v>
      </c>
      <c r="D35" s="43">
        <v>538603804385</v>
      </c>
      <c r="E35" s="43">
        <v>744090262873</v>
      </c>
      <c r="F35" s="48">
        <f t="shared" si="0"/>
        <v>0.72384202731722613</v>
      </c>
      <c r="G35" s="43">
        <v>526447491388</v>
      </c>
      <c r="H35" s="43">
        <v>727700178905</v>
      </c>
      <c r="I35" s="48">
        <f t="shared" si="1"/>
        <v>0.72344010163659289</v>
      </c>
      <c r="J35" s="43">
        <v>608007758084</v>
      </c>
      <c r="K35" s="43">
        <v>796220911472</v>
      </c>
      <c r="L35" s="48">
        <f t="shared" si="2"/>
        <v>0.76361691752098781</v>
      </c>
      <c r="R35" s="364" t="s">
        <v>514</v>
      </c>
      <c r="S35" s="40">
        <v>6.3420508910912972E-3</v>
      </c>
    </row>
    <row r="36" spans="2:19" x14ac:dyDescent="0.2">
      <c r="B36" s="41" t="str">
        <f>Z!B33</f>
        <v>UNVR</v>
      </c>
      <c r="C36" s="42" t="str">
        <f>Z!C33</f>
        <v>PT UNILEVER INDONESIA</v>
      </c>
      <c r="D36" s="43">
        <v>2406049000000</v>
      </c>
      <c r="E36" s="43">
        <v>9371661000000</v>
      </c>
      <c r="F36" s="48">
        <f t="shared" si="0"/>
        <v>0.2567366659976284</v>
      </c>
      <c r="G36" s="43">
        <v>2340586000000</v>
      </c>
      <c r="H36" s="43">
        <v>12148087000000</v>
      </c>
      <c r="I36" s="48">
        <f t="shared" si="1"/>
        <v>0.1926711588417172</v>
      </c>
      <c r="J36" s="43">
        <v>3120471000000</v>
      </c>
      <c r="K36" s="43">
        <v>9901772000000</v>
      </c>
      <c r="L36" s="48">
        <f t="shared" si="2"/>
        <v>0.31514268355199454</v>
      </c>
      <c r="R36" s="365" t="s">
        <v>514</v>
      </c>
      <c r="S36" s="40">
        <v>7.4752723460504121E-3</v>
      </c>
    </row>
    <row r="37" spans="2:19" x14ac:dyDescent="0.2">
      <c r="B37" s="41" t="str">
        <f>Z!B34</f>
        <v>BLTA</v>
      </c>
      <c r="C37" s="42" t="str">
        <f>Z!C34</f>
        <v>PT BERLIAN LAJU TANKER</v>
      </c>
      <c r="D37" s="43">
        <f>191284*13548</f>
        <v>2591515632</v>
      </c>
      <c r="E37" s="43">
        <f>-6983323*13548</f>
        <v>-94610060004</v>
      </c>
      <c r="F37" s="48">
        <f t="shared" si="0"/>
        <v>-2.7391544111592718E-2</v>
      </c>
      <c r="G37" s="43">
        <f>178102*O8</f>
        <v>2582479000</v>
      </c>
      <c r="H37" s="43">
        <f>5425807*O8</f>
        <v>78674201500</v>
      </c>
      <c r="I37" s="48">
        <f t="shared" si="1"/>
        <v>3.2824978846464681E-2</v>
      </c>
      <c r="J37" s="43">
        <f>176016*14001</f>
        <v>2464400016</v>
      </c>
      <c r="K37" s="43">
        <f>-872403*14001</f>
        <v>-12214514403</v>
      </c>
      <c r="L37" s="48">
        <f t="shared" si="2"/>
        <v>-0.20175996643752944</v>
      </c>
      <c r="R37" s="45" t="s">
        <v>608</v>
      </c>
      <c r="S37" s="45">
        <v>0.12339598191436334</v>
      </c>
    </row>
    <row r="38" spans="2:19" s="40" customFormat="1" ht="30" x14ac:dyDescent="0.2">
      <c r="B38" s="36" t="str">
        <f>Z!B35</f>
        <v>BBRM</v>
      </c>
      <c r="C38" s="37" t="str">
        <f>Z!C35</f>
        <v>PT PELAYARAN NASIONAL BINA BUANA RAYA</v>
      </c>
      <c r="D38" s="38">
        <f>-530780*13548</f>
        <v>-7191007440</v>
      </c>
      <c r="E38" s="38">
        <f>-37880233*13548</f>
        <v>-513201396684</v>
      </c>
      <c r="F38" s="39">
        <f t="shared" si="0"/>
        <v>1.4012057423194836E-2</v>
      </c>
      <c r="G38" s="38">
        <f>267431*O8</f>
        <v>3877749500</v>
      </c>
      <c r="H38" s="38">
        <f>-7811727*O8</f>
        <v>-113270041500</v>
      </c>
      <c r="I38" s="39">
        <f t="shared" si="1"/>
        <v>-3.4234555303839981E-2</v>
      </c>
      <c r="J38" s="38">
        <f>162825*14001</f>
        <v>2279712825</v>
      </c>
      <c r="K38" s="38">
        <f>-4320672*14001</f>
        <v>-60493728672</v>
      </c>
      <c r="L38" s="39">
        <f t="shared" si="2"/>
        <v>-3.7685110093985383E-2</v>
      </c>
      <c r="R38" s="359" t="s">
        <v>608</v>
      </c>
      <c r="S38" s="45">
        <v>0.14981978066367441</v>
      </c>
    </row>
    <row r="39" spans="2:19" x14ac:dyDescent="0.2">
      <c r="B39" s="41" t="str">
        <f>Z!B36</f>
        <v>BTEL</v>
      </c>
      <c r="C39" s="42" t="str">
        <f>Z!C36</f>
        <v>PT BAKRIE TELECOM</v>
      </c>
      <c r="D39" s="43">
        <v>28105000000</v>
      </c>
      <c r="E39" s="43">
        <v>-1605235000000</v>
      </c>
      <c r="F39" s="48">
        <f t="shared" si="0"/>
        <v>-1.7508339900388418E-2</v>
      </c>
      <c r="G39" s="43">
        <v>416000000</v>
      </c>
      <c r="H39" s="43">
        <v>-727979000000</v>
      </c>
      <c r="I39" s="48">
        <f t="shared" si="1"/>
        <v>-5.7144505542055472E-4</v>
      </c>
      <c r="J39" s="43">
        <v>174000000</v>
      </c>
      <c r="K39" s="43">
        <v>7343000000</v>
      </c>
      <c r="L39" s="48">
        <f t="shared" si="2"/>
        <v>2.3696037042080894E-2</v>
      </c>
      <c r="R39" s="93" t="s">
        <v>608</v>
      </c>
      <c r="S39" s="45">
        <v>0.14370095115522522</v>
      </c>
    </row>
    <row r="40" spans="2:19" x14ac:dyDescent="0.2">
      <c r="B40" s="41" t="str">
        <f>Z!B37</f>
        <v>BULL</v>
      </c>
      <c r="C40" s="42" t="str">
        <f>Z!C37</f>
        <v>PT BUANA LINTAS LAUTAN</v>
      </c>
      <c r="D40" s="43">
        <f>63278*13548</f>
        <v>857290344</v>
      </c>
      <c r="E40" s="43">
        <f>11306974*13548</f>
        <v>153186883752</v>
      </c>
      <c r="F40" s="48">
        <f t="shared" si="0"/>
        <v>5.5963691081274266E-3</v>
      </c>
      <c r="G40" s="43">
        <f>19474*O8</f>
        <v>282373000</v>
      </c>
      <c r="H40" s="43">
        <f>14860237*O8</f>
        <v>215473436500</v>
      </c>
      <c r="I40" s="48">
        <f t="shared" si="1"/>
        <v>1.3104770805472349E-3</v>
      </c>
      <c r="J40" s="43">
        <f>169420*14001</f>
        <v>2372049420</v>
      </c>
      <c r="K40" s="43">
        <f>23405217*14001</f>
        <v>327696443217</v>
      </c>
      <c r="L40" s="48">
        <f t="shared" si="2"/>
        <v>7.2385571131427665E-3</v>
      </c>
      <c r="R40" s="40" t="s">
        <v>731</v>
      </c>
      <c r="S40" s="40">
        <v>0.48043457080072099</v>
      </c>
    </row>
    <row r="41" spans="2:19" x14ac:dyDescent="0.2">
      <c r="B41" s="41" t="str">
        <f>Z!B38</f>
        <v>EXCL</v>
      </c>
      <c r="C41" s="42" t="str">
        <f>Z!C38</f>
        <v>PT XL AXIATA</v>
      </c>
      <c r="D41" s="43">
        <v>261655000000</v>
      </c>
      <c r="E41" s="43">
        <v>221238000000</v>
      </c>
      <c r="F41" s="48">
        <f t="shared" si="0"/>
        <v>1.1826856145870059</v>
      </c>
      <c r="G41" s="43">
        <v>67734000000</v>
      </c>
      <c r="H41" s="43">
        <v>-4396280000000</v>
      </c>
      <c r="I41" s="48">
        <f t="shared" si="1"/>
        <v>-1.5407116926128454E-2</v>
      </c>
      <c r="J41" s="43">
        <v>47291000000</v>
      </c>
      <c r="K41" s="43">
        <v>1144117000000</v>
      </c>
      <c r="L41" s="48">
        <f t="shared" si="2"/>
        <v>4.1334059366306068E-2</v>
      </c>
      <c r="R41" s="364" t="s">
        <v>731</v>
      </c>
      <c r="S41" s="40">
        <v>0.62833426009635107</v>
      </c>
    </row>
    <row r="42" spans="2:19" x14ac:dyDescent="0.2">
      <c r="B42" s="41" t="str">
        <f>Z!B39</f>
        <v>GIAA</v>
      </c>
      <c r="C42" s="42" t="str">
        <f>Z!C39</f>
        <v>PT GARUDA INDONESIA</v>
      </c>
      <c r="D42" s="43">
        <f>25937065*13548</f>
        <v>351395356620</v>
      </c>
      <c r="E42" s="43">
        <f>-158180637*13548</f>
        <v>-2143031270076</v>
      </c>
      <c r="F42" s="48">
        <f t="shared" si="0"/>
        <v>-0.16397117556177246</v>
      </c>
      <c r="G42" s="43">
        <f>222949795*O8</f>
        <v>3232772027500</v>
      </c>
      <c r="H42" s="43">
        <f>-286393449*O8</f>
        <v>-4152705010500</v>
      </c>
      <c r="I42" s="48">
        <f t="shared" si="1"/>
        <v>-0.77847379462928989</v>
      </c>
      <c r="J42" s="43">
        <f>2686184*14001</f>
        <v>37609262184</v>
      </c>
      <c r="K42" s="43">
        <f>52260433*14001</f>
        <v>731698322433</v>
      </c>
      <c r="L42" s="48">
        <f t="shared" si="2"/>
        <v>5.1399956827759156E-2</v>
      </c>
      <c r="R42" s="365" t="s">
        <v>731</v>
      </c>
      <c r="S42" s="40">
        <v>0.79941445613652429</v>
      </c>
    </row>
    <row r="43" spans="2:19" ht="30" x14ac:dyDescent="0.2">
      <c r="B43" s="41" t="str">
        <f>Z!B40</f>
        <v>HITS</v>
      </c>
      <c r="C43" s="42" t="str">
        <f>Z!C40</f>
        <v>HUMPUSS INTERMODA TRANSPORTASI</v>
      </c>
      <c r="D43" s="43">
        <f>1477316*13548</f>
        <v>20014677168</v>
      </c>
      <c r="E43" s="43">
        <f>10319662*13548</f>
        <v>139810780776</v>
      </c>
      <c r="F43" s="48">
        <f t="shared" si="0"/>
        <v>0.14315546381267139</v>
      </c>
      <c r="G43" s="43">
        <f>1635918*O8</f>
        <v>23720811000</v>
      </c>
      <c r="H43" s="43">
        <f>14068916*O8</f>
        <v>203999282000</v>
      </c>
      <c r="I43" s="48">
        <f t="shared" si="1"/>
        <v>0.1162788945502269</v>
      </c>
      <c r="J43" s="43">
        <f>2173355*14001</f>
        <v>30429143355</v>
      </c>
      <c r="K43" s="43">
        <f>14934684*14001</f>
        <v>209100510684</v>
      </c>
      <c r="L43" s="48">
        <f t="shared" si="2"/>
        <v>0.14552400305222393</v>
      </c>
      <c r="R43" s="45" t="s">
        <v>518</v>
      </c>
      <c r="S43" s="45">
        <v>0.40704080142035237</v>
      </c>
    </row>
    <row r="44" spans="2:19" x14ac:dyDescent="0.2">
      <c r="B44" s="41" t="str">
        <f>Z!B41</f>
        <v>ISAT</v>
      </c>
      <c r="C44" s="42" t="str">
        <f>Z!C41</f>
        <v>PT INDOSAT</v>
      </c>
      <c r="D44" s="43">
        <v>936165000000</v>
      </c>
      <c r="E44" s="43">
        <f>1940426000000</f>
        <v>1940426000000</v>
      </c>
      <c r="F44" s="48">
        <f t="shared" si="0"/>
        <v>0.48245333756608083</v>
      </c>
      <c r="G44" s="43">
        <v>677482000000</v>
      </c>
      <c r="H44" s="43">
        <v>-2663543000000</v>
      </c>
      <c r="I44" s="48">
        <f t="shared" si="1"/>
        <v>-0.25435369355779125</v>
      </c>
      <c r="J44" s="43">
        <v>416122000000</v>
      </c>
      <c r="K44" s="43">
        <v>1587191000000</v>
      </c>
      <c r="L44" s="48">
        <f t="shared" si="2"/>
        <v>0.26217512574101037</v>
      </c>
      <c r="R44" s="359" t="s">
        <v>518</v>
      </c>
      <c r="S44" s="45">
        <v>0.32162360732761275</v>
      </c>
    </row>
    <row r="45" spans="2:19" x14ac:dyDescent="0.2">
      <c r="B45" s="41" t="str">
        <f>Z!B42</f>
        <v>MBSS</v>
      </c>
      <c r="C45" s="41" t="str">
        <f>Z!C42</f>
        <v>PT MITRABAHTERA SEGARA SEJATI</v>
      </c>
      <c r="D45" s="43">
        <f>856237*13548</f>
        <v>11600298876</v>
      </c>
      <c r="E45" s="43">
        <f>-8909523*13548</f>
        <v>-120706217604</v>
      </c>
      <c r="F45" s="48">
        <f t="shared" si="0"/>
        <v>-9.6103573670554526E-2</v>
      </c>
      <c r="G45" s="43">
        <f>954281*O8</f>
        <v>13837074500</v>
      </c>
      <c r="H45" s="43">
        <f>-16748868*O8</f>
        <v>-242858586000</v>
      </c>
      <c r="I45" s="48">
        <f t="shared" si="1"/>
        <v>-5.6975850547033982E-2</v>
      </c>
      <c r="J45" s="43">
        <f>957334*14001</f>
        <v>13403633334</v>
      </c>
      <c r="K45" s="43">
        <f>1808168*14001</f>
        <v>25316160168</v>
      </c>
      <c r="L45" s="48">
        <f t="shared" si="2"/>
        <v>0.52944969715203449</v>
      </c>
      <c r="R45" s="93" t="s">
        <v>518</v>
      </c>
      <c r="S45" s="45">
        <v>0.19974675360626079</v>
      </c>
    </row>
    <row r="46" spans="2:19" ht="12.75" customHeight="1" x14ac:dyDescent="0.2">
      <c r="B46" s="41" t="str">
        <f>Z!B43</f>
        <v>PGAS</v>
      </c>
      <c r="C46" s="41" t="str">
        <f>Z!C43</f>
        <v>PT PERUSAHAAN GAS NEGARA</v>
      </c>
      <c r="D46" s="43">
        <f>142107666*13548</f>
        <v>1925274658968</v>
      </c>
      <c r="E46" s="43">
        <f>275550022*13548</f>
        <v>3733151698056</v>
      </c>
      <c r="F46" s="48">
        <f t="shared" si="0"/>
        <v>0.51572366051199225</v>
      </c>
      <c r="G46" s="43">
        <f>124854557*O8</f>
        <v>1810391076500</v>
      </c>
      <c r="H46" s="43">
        <f>584904285*O8</f>
        <v>8481112132500</v>
      </c>
      <c r="I46" s="48">
        <f t="shared" si="1"/>
        <v>0.21346151875088418</v>
      </c>
      <c r="J46" s="43">
        <f>98668207*14001</f>
        <v>1381453566207</v>
      </c>
      <c r="K46" s="43">
        <f>279902491*14001</f>
        <v>3918914776491</v>
      </c>
      <c r="L46" s="48">
        <f t="shared" si="2"/>
        <v>0.35250921364611937</v>
      </c>
      <c r="R46" s="45" t="s">
        <v>522</v>
      </c>
      <c r="S46" s="45">
        <v>0.2767098419211596</v>
      </c>
    </row>
    <row r="47" spans="2:19" x14ac:dyDescent="0.2">
      <c r="B47" s="41" t="str">
        <f>Z!B44</f>
        <v>PTIS</v>
      </c>
      <c r="C47" s="42" t="str">
        <f>Z!C44</f>
        <v>PT INDO STRAITS</v>
      </c>
      <c r="D47" s="43">
        <f>380671*13548</f>
        <v>5157330708</v>
      </c>
      <c r="E47" s="43">
        <f>-1918870*13548</f>
        <v>-25996850760</v>
      </c>
      <c r="F47" s="48">
        <f t="shared" si="0"/>
        <v>-0.198382902437372</v>
      </c>
      <c r="G47" s="43">
        <f>432987*O8</f>
        <v>6278311500</v>
      </c>
      <c r="H47" s="43">
        <f>172508*O8</f>
        <v>2501366000</v>
      </c>
      <c r="I47" s="48">
        <f t="shared" si="1"/>
        <v>2.5099531615925059</v>
      </c>
      <c r="J47" s="43">
        <f>50241*14001</f>
        <v>703424241</v>
      </c>
      <c r="K47" s="43">
        <f>270474*14001</f>
        <v>3786906474</v>
      </c>
      <c r="L47" s="48">
        <f t="shared" si="2"/>
        <v>0.18575168038332704</v>
      </c>
      <c r="R47" s="359" t="s">
        <v>522</v>
      </c>
      <c r="S47" s="45">
        <v>0.36641261145455112</v>
      </c>
    </row>
    <row r="48" spans="2:19" x14ac:dyDescent="0.2">
      <c r="B48" s="41" t="str">
        <f>Z!B45</f>
        <v>SMDR</v>
      </c>
      <c r="C48" s="42" t="str">
        <f>Z!C45</f>
        <v>SAMUDERA INDONESIA</v>
      </c>
      <c r="D48" s="43">
        <f>7199834*13548</f>
        <v>97543351032</v>
      </c>
      <c r="E48" s="43">
        <f>17145071*13548</f>
        <v>232281421908</v>
      </c>
      <c r="F48" s="48">
        <f t="shared" si="0"/>
        <v>0.41993608542070199</v>
      </c>
      <c r="G48" s="43">
        <f>5416746*O8</f>
        <v>78542817000</v>
      </c>
      <c r="H48" s="43">
        <f>12593132*O8</f>
        <v>182600414000</v>
      </c>
      <c r="I48" s="48">
        <f t="shared" si="1"/>
        <v>0.43013493386712692</v>
      </c>
      <c r="J48" s="43">
        <f>5610357*14001</f>
        <v>78550608357</v>
      </c>
      <c r="K48" s="43">
        <f>-55055359*14001</f>
        <v>-770830081359</v>
      </c>
      <c r="L48" s="48">
        <f t="shared" si="2"/>
        <v>-0.10190392183256856</v>
      </c>
      <c r="R48" s="93" t="s">
        <v>522</v>
      </c>
      <c r="S48" s="45">
        <v>0.71064278236935419</v>
      </c>
    </row>
    <row r="49" spans="2:19" x14ac:dyDescent="0.2">
      <c r="B49" s="41" t="str">
        <f>Z!B46</f>
        <v>SOCI</v>
      </c>
      <c r="C49" s="42" t="str">
        <f>Z!C46</f>
        <v xml:space="preserve">PT SOECHI LINES </v>
      </c>
      <c r="D49" s="43">
        <f>19098*13548</f>
        <v>258739704</v>
      </c>
      <c r="E49" s="43">
        <f>23266476*13548</f>
        <v>315214216848</v>
      </c>
      <c r="F49" s="48">
        <f t="shared" si="0"/>
        <v>8.2083767219410457E-4</v>
      </c>
      <c r="G49" s="43">
        <f>25023*O8</f>
        <v>362833500</v>
      </c>
      <c r="H49" s="43">
        <f>15309792*O8</f>
        <v>221991984000</v>
      </c>
      <c r="I49" s="48">
        <f t="shared" si="1"/>
        <v>1.6344441518212657E-3</v>
      </c>
      <c r="J49" s="43">
        <f>1867952*14001</f>
        <v>26153195952</v>
      </c>
      <c r="K49" s="43">
        <f>13037222*14001</f>
        <v>182534145222</v>
      </c>
      <c r="L49" s="48">
        <f t="shared" si="2"/>
        <v>0.14327837632894491</v>
      </c>
      <c r="R49" s="40" t="s">
        <v>241</v>
      </c>
      <c r="S49" s="40">
        <v>1.4012057423194836E-2</v>
      </c>
    </row>
    <row r="50" spans="2:19" ht="30" x14ac:dyDescent="0.2">
      <c r="B50" s="41" t="str">
        <f>Z!B47</f>
        <v>TBIG</v>
      </c>
      <c r="C50" s="42" t="str">
        <f>Z!C47</f>
        <v>PT TOWER BERSAMA INFRASTRUCTURE</v>
      </c>
      <c r="D50" s="43">
        <v>182501000000</v>
      </c>
      <c r="E50" s="43">
        <v>907639000000</v>
      </c>
      <c r="F50" s="48">
        <f t="shared" si="0"/>
        <v>0.20107223246246581</v>
      </c>
      <c r="G50" s="43">
        <v>190563000000</v>
      </c>
      <c r="H50" s="43">
        <v>1016975000000</v>
      </c>
      <c r="I50" s="48">
        <f t="shared" si="1"/>
        <v>0.18738218736940437</v>
      </c>
      <c r="J50" s="43">
        <v>272610000000</v>
      </c>
      <c r="K50" s="43">
        <v>1222595000000</v>
      </c>
      <c r="L50" s="48">
        <f t="shared" si="2"/>
        <v>0.22297653761057423</v>
      </c>
      <c r="R50" s="364" t="s">
        <v>241</v>
      </c>
      <c r="S50" s="40">
        <v>-3.4234555303839981E-2</v>
      </c>
    </row>
    <row r="51" spans="2:19" x14ac:dyDescent="0.2">
      <c r="B51" s="41" t="str">
        <f>Z!B48</f>
        <v>TLKM</v>
      </c>
      <c r="C51" s="42" t="str">
        <f>Z!C48</f>
        <v>PT TELEKOMUNIKASI INDONESIA</v>
      </c>
      <c r="D51" s="43">
        <v>11846000000000</v>
      </c>
      <c r="E51" s="43">
        <v>42659000000000</v>
      </c>
      <c r="F51" s="48">
        <f t="shared" si="0"/>
        <v>0.27769052251576454</v>
      </c>
      <c r="G51" s="43">
        <v>10375000000000</v>
      </c>
      <c r="H51" s="43">
        <v>36405000000000</v>
      </c>
      <c r="I51" s="48">
        <f t="shared" si="1"/>
        <v>0.2849883257794259</v>
      </c>
      <c r="J51" s="43">
        <v>10348000000000</v>
      </c>
      <c r="K51" s="43">
        <v>37908000000000</v>
      </c>
      <c r="L51" s="48">
        <f t="shared" si="2"/>
        <v>0.27297668038408779</v>
      </c>
      <c r="R51" s="365" t="s">
        <v>241</v>
      </c>
      <c r="S51" s="40">
        <v>-3.7685110093985383E-2</v>
      </c>
    </row>
    <row r="52" spans="2:19" x14ac:dyDescent="0.2">
      <c r="B52" s="41" t="str">
        <f>Z!B49</f>
        <v>TMAS</v>
      </c>
      <c r="C52" s="42" t="str">
        <f>Z!C49</f>
        <v>PT PELAYARAN TEMPURAN EMAS</v>
      </c>
      <c r="D52" s="43">
        <v>40921211825</v>
      </c>
      <c r="E52" s="43">
        <v>19308285740</v>
      </c>
      <c r="F52" s="48">
        <f t="shared" si="0"/>
        <v>2.1193601739705765</v>
      </c>
      <c r="G52" s="43">
        <v>36712000000</v>
      </c>
      <c r="H52" s="43">
        <v>-15539000000</v>
      </c>
      <c r="I52" s="48">
        <f t="shared" si="1"/>
        <v>-2.3625715940536716</v>
      </c>
      <c r="J52" s="43">
        <v>42366000000</v>
      </c>
      <c r="K52" s="43">
        <v>146738000000</v>
      </c>
      <c r="L52" s="48">
        <f t="shared" si="2"/>
        <v>0.28871866864752144</v>
      </c>
      <c r="R52" s="45" t="s">
        <v>735</v>
      </c>
      <c r="S52" s="45">
        <v>0.65164825866437048</v>
      </c>
    </row>
    <row r="53" spans="2:19" ht="30" x14ac:dyDescent="0.2">
      <c r="B53" s="41" t="str">
        <f>Z!B50</f>
        <v>WINS</v>
      </c>
      <c r="C53" s="42" t="str">
        <f>Z!C50</f>
        <v>PT WINTERMAR OFFSHORE MARINE</v>
      </c>
      <c r="D53" s="43">
        <f>213598*13548</f>
        <v>2893825704</v>
      </c>
      <c r="E53" s="43">
        <f>-39736982*13548</f>
        <v>-538356632136</v>
      </c>
      <c r="F53" s="48">
        <f t="shared" si="0"/>
        <v>-5.3752949833985883E-3</v>
      </c>
      <c r="G53" s="43">
        <f>14229*O8</f>
        <v>206320500</v>
      </c>
      <c r="H53" s="43">
        <f>-35993851*O8</f>
        <v>-521910839500</v>
      </c>
      <c r="I53" s="48">
        <f t="shared" si="1"/>
        <v>-3.9531752242903933E-4</v>
      </c>
      <c r="J53" s="43">
        <f>211316*14001</f>
        <v>2958635316</v>
      </c>
      <c r="K53" s="43">
        <f>-16711466*14001</f>
        <v>-233977235466</v>
      </c>
      <c r="L53" s="48">
        <f t="shared" si="2"/>
        <v>-1.264497082422332E-2</v>
      </c>
      <c r="R53" s="359" t="s">
        <v>735</v>
      </c>
      <c r="S53" s="45">
        <v>0.51083700544707822</v>
      </c>
    </row>
    <row r="54" spans="2:19" x14ac:dyDescent="0.2">
      <c r="B54" s="41" t="str">
        <f>Z!B51</f>
        <v>ADRO</v>
      </c>
      <c r="C54" s="42" t="str">
        <f>Z!C51</f>
        <v>PT ADARO ENERGY</v>
      </c>
      <c r="D54" s="43">
        <f>515462*N8</f>
        <v>6983479176</v>
      </c>
      <c r="E54" s="43">
        <f>929531*N8</f>
        <v>12593285988</v>
      </c>
      <c r="F54" s="48">
        <f t="shared" si="0"/>
        <v>0.5545398701065376</v>
      </c>
      <c r="G54" s="43">
        <f>407365*O8</f>
        <v>5906792500</v>
      </c>
      <c r="H54" s="43">
        <f>820998*O8</f>
        <v>11904471000</v>
      </c>
      <c r="I54" s="48">
        <f t="shared" si="1"/>
        <v>0.49618269472032817</v>
      </c>
      <c r="J54" s="43">
        <f>306943*P8</f>
        <v>4297508943</v>
      </c>
      <c r="K54" s="43">
        <f>659103*P8</f>
        <v>9228101103</v>
      </c>
      <c r="L54" s="48">
        <f t="shared" si="2"/>
        <v>0.4656980775387155</v>
      </c>
      <c r="R54" s="93" t="s">
        <v>735</v>
      </c>
      <c r="S54" s="45">
        <v>0.25740875046249412</v>
      </c>
    </row>
    <row r="55" spans="2:19" x14ac:dyDescent="0.2">
      <c r="B55" s="41" t="str">
        <f>Z!B52</f>
        <v>ANTM</v>
      </c>
      <c r="C55" s="42" t="str">
        <f>Z!C52</f>
        <v>PT ANEKA TAMBANG</v>
      </c>
      <c r="D55" s="43">
        <v>195949984000</v>
      </c>
      <c r="E55" s="43">
        <v>454396524000</v>
      </c>
      <c r="F55" s="48">
        <f t="shared" si="0"/>
        <v>0.43123125651374922</v>
      </c>
      <c r="G55" s="43">
        <v>551348245000</v>
      </c>
      <c r="H55" s="43">
        <v>2013152801000</v>
      </c>
      <c r="I55" s="48">
        <f t="shared" si="1"/>
        <v>0.27387302380928413</v>
      </c>
      <c r="J55" s="43">
        <v>734464694000</v>
      </c>
      <c r="K55" s="43">
        <v>687034053000</v>
      </c>
      <c r="L55" s="48">
        <f t="shared" si="2"/>
        <v>1.0690368123572471</v>
      </c>
      <c r="R55" s="40" t="s">
        <v>24</v>
      </c>
      <c r="S55" s="40">
        <v>0.25527112059584317</v>
      </c>
    </row>
    <row r="56" spans="2:19" x14ac:dyDescent="0.2">
      <c r="B56" s="41" t="str">
        <f>Z!B53</f>
        <v xml:space="preserve">BYAN </v>
      </c>
      <c r="C56" s="42" t="str">
        <f>Z!C53</f>
        <v>PT BAYAN RESOURCES</v>
      </c>
      <c r="D56" s="43">
        <f>42286456*N8</f>
        <v>572896905888</v>
      </c>
      <c r="E56" s="43">
        <f>420082773*N8</f>
        <v>5691281408604</v>
      </c>
      <c r="F56" s="48">
        <f t="shared" si="0"/>
        <v>0.10066219973271791</v>
      </c>
      <c r="G56" s="43">
        <f>152484943*O8</f>
        <v>2211031673500</v>
      </c>
      <c r="H56" s="43">
        <f>696732272*O8</f>
        <v>10102617944000</v>
      </c>
      <c r="I56" s="48">
        <f t="shared" si="1"/>
        <v>0.21885729874731566</v>
      </c>
      <c r="J56" s="43">
        <f>212759611*P8</f>
        <v>2978847313611</v>
      </c>
      <c r="K56" s="43">
        <f>311625370*P8</f>
        <v>4363066805370</v>
      </c>
      <c r="L56" s="48">
        <f t="shared" si="2"/>
        <v>0.68274162337938016</v>
      </c>
      <c r="R56" s="364" t="s">
        <v>24</v>
      </c>
      <c r="S56" s="40">
        <v>0.24848120372147126</v>
      </c>
    </row>
    <row r="57" spans="2:19" x14ac:dyDescent="0.2">
      <c r="B57" s="48" t="str">
        <f>Z!B54</f>
        <v>DSSA</v>
      </c>
      <c r="C57" s="49" t="str">
        <f>Z!C54</f>
        <v>PT DIAN SWASTATIKA SENTOSA</v>
      </c>
      <c r="D57" s="43">
        <f>23209815*N8</f>
        <v>314446573620</v>
      </c>
      <c r="E57" s="43">
        <f>191361218*N8</f>
        <v>2592561781464</v>
      </c>
      <c r="F57" s="48">
        <f t="shared" si="0"/>
        <v>0.12128797696093259</v>
      </c>
      <c r="G57" s="43">
        <f>75554838*O8</f>
        <v>1095545151000</v>
      </c>
      <c r="H57" s="43">
        <f>194314521*O8</f>
        <v>2817560554500</v>
      </c>
      <c r="I57" s="48">
        <f t="shared" si="1"/>
        <v>0.38882754418543947</v>
      </c>
      <c r="J57" s="43">
        <f>50370413*P8</f>
        <v>705236152413</v>
      </c>
      <c r="K57" s="43">
        <f>132991843*P8</f>
        <v>1862018793843</v>
      </c>
      <c r="L57" s="48">
        <f t="shared" si="2"/>
        <v>0.37874813871103358</v>
      </c>
      <c r="R57" s="365" t="s">
        <v>24</v>
      </c>
      <c r="S57" s="40">
        <v>0.32503069636905807</v>
      </c>
    </row>
    <row r="58" spans="2:19" x14ac:dyDescent="0.2">
      <c r="B58" s="48" t="str">
        <f>Z!B55</f>
        <v>GEMS</v>
      </c>
      <c r="C58" s="49" t="str">
        <f>Z!C55</f>
        <v>PT GOLDEN ENERGY MINES</v>
      </c>
      <c r="D58" s="43">
        <f>18006577*N8</f>
        <v>243953105196</v>
      </c>
      <c r="E58" s="43">
        <f>167858982*N8</f>
        <v>2274153488136</v>
      </c>
      <c r="F58" s="48">
        <f t="shared" si="0"/>
        <v>0.10727204934437169</v>
      </c>
      <c r="G58" s="43">
        <f>70655170*O8</f>
        <v>1024499965000</v>
      </c>
      <c r="H58" s="43">
        <f>136143507*O8</f>
        <v>1974080851500</v>
      </c>
      <c r="I58" s="48">
        <f t="shared" si="1"/>
        <v>0.51897568644239489</v>
      </c>
      <c r="J58" s="43">
        <f>42201776*P8</f>
        <v>590867065776</v>
      </c>
      <c r="K58" s="43">
        <f>101031510*P8</f>
        <v>1414542171510</v>
      </c>
      <c r="L58" s="48">
        <f t="shared" si="2"/>
        <v>0.41770904938469194</v>
      </c>
      <c r="R58" s="45" t="s">
        <v>236</v>
      </c>
      <c r="S58" s="45">
        <v>-2.7391544111592718E-2</v>
      </c>
    </row>
    <row r="59" spans="2:19" x14ac:dyDescent="0.2">
      <c r="B59" s="48" t="str">
        <f>Z!B56</f>
        <v>INCO</v>
      </c>
      <c r="C59" s="49" t="str">
        <f>Z!C56</f>
        <v>PT VALE INDONESIA</v>
      </c>
      <c r="D59" s="43">
        <f>14966000*N8</f>
        <v>202759368000</v>
      </c>
      <c r="E59" s="43">
        <f>-23020000*N8</f>
        <v>-311874960000</v>
      </c>
      <c r="F59" s="48">
        <f t="shared" si="0"/>
        <v>-0.65013032145960037</v>
      </c>
      <c r="G59" s="43">
        <f>36348000*O8</f>
        <v>527046000000</v>
      </c>
      <c r="H59" s="43">
        <f>82617000*O8</f>
        <v>1197946500000</v>
      </c>
      <c r="I59" s="48">
        <f t="shared" si="1"/>
        <v>0.4399578779185882</v>
      </c>
      <c r="J59" s="43">
        <f>70616000*P8</f>
        <v>988694616000</v>
      </c>
      <c r="K59" s="43">
        <f>89136000*P8</f>
        <v>1247993136000</v>
      </c>
      <c r="L59" s="48">
        <f t="shared" si="2"/>
        <v>0.79222760725183994</v>
      </c>
      <c r="R59" s="359" t="s">
        <v>236</v>
      </c>
      <c r="S59" s="45">
        <v>3.2824978846464681E-2</v>
      </c>
    </row>
    <row r="60" spans="2:19" x14ac:dyDescent="0.2">
      <c r="B60" s="48" t="str">
        <f>Z!B57</f>
        <v>INDY</v>
      </c>
      <c r="C60" s="49" t="str">
        <f>Z!C57</f>
        <v>PT INDIKA ENERGY</v>
      </c>
      <c r="D60" s="43">
        <f>49061954*N8</f>
        <v>664691352792</v>
      </c>
      <c r="E60" s="43">
        <f>300116045*N8</f>
        <v>4065972177660</v>
      </c>
      <c r="F60" s="48">
        <f t="shared" si="0"/>
        <v>0.16347661118884863</v>
      </c>
      <c r="G60" s="43">
        <f>272580904*O8</f>
        <v>3952423108000</v>
      </c>
      <c r="H60" s="43">
        <f>265076418*O8</f>
        <v>3843608061000</v>
      </c>
      <c r="I60" s="48">
        <f t="shared" si="1"/>
        <v>1.0283106511572071</v>
      </c>
      <c r="J60" s="43">
        <f>230827767*P8</f>
        <v>3231819565767</v>
      </c>
      <c r="K60" s="43">
        <f>54134699*P8</f>
        <v>757939920699</v>
      </c>
      <c r="L60" s="48">
        <f t="shared" si="2"/>
        <v>4.2639521649506174</v>
      </c>
      <c r="R60" s="93" t="s">
        <v>236</v>
      </c>
      <c r="S60" s="45">
        <v>-0.20175996643752944</v>
      </c>
    </row>
    <row r="61" spans="2:19" x14ac:dyDescent="0.2">
      <c r="B61" s="48" t="str">
        <f>Z!B58</f>
        <v>ITMG</v>
      </c>
      <c r="C61" s="49" t="str">
        <f>Z!C58</f>
        <v>PT INDO TAMBANGRAYA MEGAH</v>
      </c>
      <c r="D61" s="43">
        <f>59595000*N8</f>
        <v>807393060000</v>
      </c>
      <c r="E61" s="43">
        <f>362055000*N8</f>
        <v>4905121140000</v>
      </c>
      <c r="F61" s="48">
        <f t="shared" si="0"/>
        <v>0.16460206322243859</v>
      </c>
      <c r="G61" s="43">
        <f>109257000*O8</f>
        <v>1584226500000</v>
      </c>
      <c r="H61" s="43">
        <f>367363000*O8</f>
        <v>5326763500000</v>
      </c>
      <c r="I61" s="48">
        <f t="shared" si="1"/>
        <v>0.29740882995837903</v>
      </c>
      <c r="J61" s="43">
        <f>(106.73*1000000)*P8</f>
        <v>1494326730000</v>
      </c>
      <c r="K61" s="43">
        <f>(185.91*1000000)*P8</f>
        <v>2602925910000</v>
      </c>
      <c r="L61" s="48">
        <f t="shared" si="2"/>
        <v>0.57409499220052718</v>
      </c>
      <c r="R61" s="45" t="s">
        <v>739</v>
      </c>
      <c r="S61" s="45">
        <v>-5.2356415557857083E-2</v>
      </c>
    </row>
    <row r="62" spans="2:19" ht="30" x14ac:dyDescent="0.2">
      <c r="B62" s="48" t="str">
        <f>Z!B59</f>
        <v>MEDC</v>
      </c>
      <c r="C62" s="49" t="str">
        <f>Z!C59</f>
        <v>PT MEDCO ENERGI INTERNATIONAL</v>
      </c>
      <c r="D62" s="43">
        <f>166996117*N8</f>
        <v>2262463393116</v>
      </c>
      <c r="E62" s="43">
        <f>295482625*N8</f>
        <v>4003198603500</v>
      </c>
      <c r="F62" s="48">
        <f t="shared" si="0"/>
        <v>0.56516391446028336</v>
      </c>
      <c r="G62" s="43">
        <f>168762401*O8</f>
        <v>2447054814500</v>
      </c>
      <c r="H62" s="43">
        <f>202189789*O8</f>
        <v>2931751940500</v>
      </c>
      <c r="I62" s="48">
        <f t="shared" si="1"/>
        <v>0.83467321388816529</v>
      </c>
      <c r="J62" s="43">
        <f>210606360*P8</f>
        <v>2948699646360</v>
      </c>
      <c r="K62" s="43">
        <f>179146124*P8</f>
        <v>2508224882124</v>
      </c>
      <c r="L62" s="48">
        <f t="shared" si="2"/>
        <v>1.1756121500010797</v>
      </c>
      <c r="R62" s="359" t="s">
        <v>739</v>
      </c>
      <c r="S62" s="45">
        <v>8.4771195155243284E-2</v>
      </c>
    </row>
    <row r="63" spans="2:19" x14ac:dyDescent="0.2">
      <c r="B63" s="48" t="str">
        <f>Z!B60</f>
        <v>MYOH</v>
      </c>
      <c r="C63" s="49" t="str">
        <f>Z!C60</f>
        <v>PT SAMINDO RESOURCES</v>
      </c>
      <c r="D63" s="43">
        <f>7387315*N8</f>
        <v>100083343620</v>
      </c>
      <c r="E63" s="43">
        <f>17016672*N8</f>
        <v>230541872256</v>
      </c>
      <c r="F63" s="48">
        <f t="shared" si="0"/>
        <v>0.43412219498618765</v>
      </c>
      <c r="G63" s="43">
        <f>8387845*O8</f>
        <v>121623752500</v>
      </c>
      <c r="H63" s="43">
        <f>41447529*O8</f>
        <v>600989170500</v>
      </c>
      <c r="I63" s="48">
        <f t="shared" si="1"/>
        <v>0.20237261912525595</v>
      </c>
      <c r="J63" s="43">
        <f>10205044*P8</f>
        <v>142880821044</v>
      </c>
      <c r="K63" s="43">
        <f>34925112*P8</f>
        <v>488986493112</v>
      </c>
      <c r="L63" s="48">
        <f t="shared" si="2"/>
        <v>0.29219788901464366</v>
      </c>
      <c r="R63" s="93" t="s">
        <v>739</v>
      </c>
      <c r="S63" s="45">
        <v>0.17787719212509576</v>
      </c>
    </row>
    <row r="64" spans="2:19" x14ac:dyDescent="0.2">
      <c r="B64" s="48" t="str">
        <f>Z!B61</f>
        <v>PTBA</v>
      </c>
      <c r="C64" s="49" t="str">
        <f>Z!C61</f>
        <v>PT BUKIT ASAM</v>
      </c>
      <c r="D64" s="43">
        <v>1120852000000</v>
      </c>
      <c r="E64" s="43">
        <f>6101629000000</f>
        <v>6101629000000</v>
      </c>
      <c r="F64" s="48">
        <f t="shared" si="0"/>
        <v>0.18369717332863075</v>
      </c>
      <c r="G64" s="43">
        <v>2284395000000</v>
      </c>
      <c r="H64" s="43">
        <v>6799056000000</v>
      </c>
      <c r="I64" s="48">
        <f t="shared" si="1"/>
        <v>0.33598708408932065</v>
      </c>
      <c r="J64" s="43">
        <v>1532563000000</v>
      </c>
      <c r="K64" s="43">
        <v>5455162000000</v>
      </c>
      <c r="L64" s="48">
        <f t="shared" si="2"/>
        <v>0.28093812796026957</v>
      </c>
      <c r="R64" s="40" t="s">
        <v>743</v>
      </c>
      <c r="S64" s="40">
        <v>0.34095136937587023</v>
      </c>
    </row>
    <row r="65" spans="2:19" x14ac:dyDescent="0.2">
      <c r="B65" s="48" t="str">
        <f>Z!B62</f>
        <v>PTRO</v>
      </c>
      <c r="C65" s="49" t="str">
        <f>Z!C62</f>
        <v>PT PETROSEA</v>
      </c>
      <c r="D65" s="43">
        <f>1944000*N8</f>
        <v>26337312000</v>
      </c>
      <c r="E65" s="43">
        <f>10794000*N8</f>
        <v>146237112000</v>
      </c>
      <c r="F65" s="48">
        <f t="shared" si="0"/>
        <v>0.18010005558643691</v>
      </c>
      <c r="G65" s="43">
        <f>3251000*O8</f>
        <v>47139500000</v>
      </c>
      <c r="H65" s="43">
        <f>34520000*O8</f>
        <v>500540000000</v>
      </c>
      <c r="I65" s="48">
        <f t="shared" si="1"/>
        <v>9.4177288528389344E-2</v>
      </c>
      <c r="J65" s="43">
        <f>12941000*P8</f>
        <v>181186941000</v>
      </c>
      <c r="K65" s="43">
        <f>40581000*P8</f>
        <v>568174581000</v>
      </c>
      <c r="L65" s="48">
        <f t="shared" si="2"/>
        <v>0.31889307804144795</v>
      </c>
      <c r="R65" s="364" t="s">
        <v>743</v>
      </c>
      <c r="S65" s="40">
        <v>0.88101881145021388</v>
      </c>
    </row>
    <row r="66" spans="2:19" x14ac:dyDescent="0.2">
      <c r="B66" s="48" t="str">
        <f>Z!B63</f>
        <v>TINS</v>
      </c>
      <c r="C66" s="49" t="str">
        <f>Z!C63</f>
        <v>PT TIMAH</v>
      </c>
      <c r="D66" s="43">
        <v>1080481000000</v>
      </c>
      <c r="E66" s="43">
        <f>716211000000</f>
        <v>716211000000</v>
      </c>
      <c r="F66" s="48">
        <f t="shared" si="0"/>
        <v>1.5086071004215238</v>
      </c>
      <c r="G66" s="156">
        <v>982757000000</v>
      </c>
      <c r="H66" s="156">
        <f>11016677000000</f>
        <v>11016677000000</v>
      </c>
      <c r="I66" s="52">
        <f t="shared" si="1"/>
        <v>8.9206300593182505E-2</v>
      </c>
      <c r="J66" s="43">
        <v>2548576000000</v>
      </c>
      <c r="K66" s="43">
        <v>19302627000000</v>
      </c>
      <c r="L66" s="48">
        <f t="shared" si="2"/>
        <v>0.13203259846444734</v>
      </c>
      <c r="R66" s="365" t="s">
        <v>743</v>
      </c>
      <c r="S66" s="40">
        <v>0.54236196327458219</v>
      </c>
    </row>
    <row r="67" spans="2:19" x14ac:dyDescent="0.2">
      <c r="B67" s="48" t="str">
        <f>Z!B64</f>
        <v>TOBA</v>
      </c>
      <c r="C67" s="49" t="str">
        <f>Z!C64</f>
        <v>PT TOBA SEJAHTERA</v>
      </c>
      <c r="D67" s="43">
        <f>13198613*N8</f>
        <v>178814808924</v>
      </c>
      <c r="E67" s="43">
        <f>60195507*N8</f>
        <v>815528728836</v>
      </c>
      <c r="F67" s="48">
        <f t="shared" si="0"/>
        <v>0.2192624276758729</v>
      </c>
      <c r="G67" s="43">
        <f>27084635*O8</f>
        <v>392727207500</v>
      </c>
      <c r="H67" s="43">
        <f>97281622*O8</f>
        <v>1410583519000</v>
      </c>
      <c r="I67" s="48">
        <f t="shared" si="1"/>
        <v>0.27841471434347587</v>
      </c>
      <c r="J67" s="43">
        <f>17596307*P8</f>
        <v>246365894307</v>
      </c>
      <c r="K67" s="43">
        <f>62869168*P8</f>
        <v>880231221168</v>
      </c>
      <c r="L67" s="48">
        <f t="shared" si="2"/>
        <v>0.2798877026653192</v>
      </c>
      <c r="R67" s="40" t="s">
        <v>526</v>
      </c>
      <c r="S67" s="40">
        <v>0.29888585188872208</v>
      </c>
    </row>
    <row r="68" spans="2:19" x14ac:dyDescent="0.2">
      <c r="B68" s="48" t="str">
        <f>Z!B65</f>
        <v>AMFG</v>
      </c>
      <c r="C68" s="49" t="str">
        <f>Z!C65</f>
        <v>PT ASAHIMAS FLAT GLASS</v>
      </c>
      <c r="D68" s="43">
        <v>60494000000</v>
      </c>
      <c r="E68" s="43">
        <f>63589000000</f>
        <v>63589000000</v>
      </c>
      <c r="F68" s="48">
        <f t="shared" si="0"/>
        <v>0.95132805988457125</v>
      </c>
      <c r="G68" s="43">
        <v>72818000000</v>
      </c>
      <c r="H68" s="43">
        <v>11184000000</v>
      </c>
      <c r="I68" s="48">
        <f t="shared" si="1"/>
        <v>6.5109084406294704</v>
      </c>
      <c r="J68" s="43">
        <v>34443000000</v>
      </c>
      <c r="K68" s="43">
        <v>-168416000000</v>
      </c>
      <c r="L68" s="48">
        <f t="shared" si="2"/>
        <v>-0.20451144784343531</v>
      </c>
      <c r="R68" s="364" t="s">
        <v>526</v>
      </c>
      <c r="S68" s="40">
        <v>0.3438845743894472</v>
      </c>
    </row>
    <row r="69" spans="2:19" x14ac:dyDescent="0.2">
      <c r="B69" s="48" t="str">
        <f>Z!B66</f>
        <v>BRPT</v>
      </c>
      <c r="C69" s="49" t="str">
        <f>Z!C66</f>
        <v>PT BARITO PACIFIC</v>
      </c>
      <c r="D69" s="43">
        <f>164296000*N8</f>
        <v>2225882208000</v>
      </c>
      <c r="E69" s="43">
        <f>385404000*N8</f>
        <v>5221453392000</v>
      </c>
      <c r="F69" s="48">
        <f t="shared" si="0"/>
        <v>0.42629552365829104</v>
      </c>
      <c r="G69" s="43">
        <f>254417000*O8</f>
        <v>3689046500000</v>
      </c>
      <c r="H69" s="43">
        <f>455809000*O8</f>
        <v>6609230500000</v>
      </c>
      <c r="I69" s="48">
        <f>G69/H69</f>
        <v>0.55816581067947324</v>
      </c>
      <c r="J69" s="43">
        <f>153872000*P8</f>
        <v>2154361872000</v>
      </c>
      <c r="K69" s="43">
        <f>276669000*P8</f>
        <v>3873642669000</v>
      </c>
      <c r="L69" s="48">
        <f t="shared" si="2"/>
        <v>0.55615916492270545</v>
      </c>
      <c r="R69" s="365" t="s">
        <v>526</v>
      </c>
      <c r="S69" s="40">
        <v>0.34463663096131408</v>
      </c>
    </row>
    <row r="70" spans="2:19" ht="30" x14ac:dyDescent="0.2">
      <c r="B70" s="48" t="str">
        <f>Z!B67</f>
        <v>CPIN</v>
      </c>
      <c r="C70" s="49" t="str">
        <f>Z!C67</f>
        <v>PT CHAROEN POKPHAND INDONESIA</v>
      </c>
      <c r="D70" s="43">
        <v>1452945000000</v>
      </c>
      <c r="E70" s="43">
        <v>3255705000000</v>
      </c>
      <c r="F70" s="48">
        <f t="shared" si="0"/>
        <v>0.44627661289951026</v>
      </c>
      <c r="G70" s="43">
        <v>918248000000</v>
      </c>
      <c r="H70" s="43">
        <v>5907351000000</v>
      </c>
      <c r="I70" s="48">
        <f>G70/H70</f>
        <v>0.15544158456133722</v>
      </c>
      <c r="J70" s="43">
        <v>1949684000000</v>
      </c>
      <c r="K70" s="43">
        <v>4595238000000</v>
      </c>
      <c r="L70" s="48">
        <f t="shared" si="2"/>
        <v>0.42428357356028129</v>
      </c>
      <c r="R70" s="45" t="s">
        <v>412</v>
      </c>
      <c r="S70" s="45">
        <v>0.42629552365829104</v>
      </c>
    </row>
    <row r="71" spans="2:19" x14ac:dyDescent="0.2">
      <c r="B71" s="48" t="str">
        <f>Z!B68</f>
        <v>CPRO</v>
      </c>
      <c r="C71" s="49" t="str">
        <f>Z!C68</f>
        <v>PT CENTRAL PROTEINA PRIMA</v>
      </c>
      <c r="D71" s="43">
        <v>72982000000</v>
      </c>
      <c r="E71" s="43">
        <v>-2512179000000</v>
      </c>
      <c r="F71" s="48">
        <f t="shared" si="0"/>
        <v>-2.9051273814485353E-2</v>
      </c>
      <c r="G71" s="43">
        <f>56143000000+37000000</f>
        <v>56180000000</v>
      </c>
      <c r="H71" s="43">
        <v>1831870000000</v>
      </c>
      <c r="I71" s="48">
        <f>G71/H71</f>
        <v>3.06681150955035E-2</v>
      </c>
      <c r="J71" s="43">
        <f>35600000000+1605000000</f>
        <v>37205000000</v>
      </c>
      <c r="K71" s="43">
        <v>-348277000000</v>
      </c>
      <c r="L71" s="48">
        <f t="shared" si="2"/>
        <v>-0.10682588858868085</v>
      </c>
      <c r="R71" s="359" t="s">
        <v>412</v>
      </c>
      <c r="S71" s="45">
        <v>0.55816581067947324</v>
      </c>
    </row>
    <row r="72" spans="2:19" x14ac:dyDescent="0.2">
      <c r="B72" s="48" t="str">
        <f>Z!B69</f>
        <v>CTBN</v>
      </c>
      <c r="C72" s="49" t="str">
        <f>Z!C69</f>
        <v xml:space="preserve">PT CITRA TUBINDO </v>
      </c>
      <c r="D72" s="43">
        <f>1155051*N8</f>
        <v>15648630948</v>
      </c>
      <c r="E72" s="43">
        <f>15590386*N8</f>
        <v>211218549528</v>
      </c>
      <c r="F72" s="48">
        <f t="shared" si="0"/>
        <v>7.4087389497604489E-2</v>
      </c>
      <c r="G72" s="43">
        <f>56477*O8</f>
        <v>818916500</v>
      </c>
      <c r="H72" s="43">
        <f>-7453372*O8</f>
        <v>-108073894000</v>
      </c>
      <c r="I72" s="48">
        <f t="shared" ref="I72:I135" si="3">G72/H72</f>
        <v>-7.5773757166554953E-3</v>
      </c>
      <c r="J72" s="43">
        <f>88043*P8</f>
        <v>1232690043</v>
      </c>
      <c r="K72" s="43">
        <f>3411871*P8</f>
        <v>47769605871</v>
      </c>
      <c r="L72" s="48">
        <f t="shared" ref="L72:L135" si="4">J72/K72</f>
        <v>2.5804902940351496E-2</v>
      </c>
      <c r="R72" s="93" t="s">
        <v>412</v>
      </c>
      <c r="S72" s="45">
        <v>0.55615916492270545</v>
      </c>
    </row>
    <row r="73" spans="2:19" x14ac:dyDescent="0.2">
      <c r="B73" s="48" t="str">
        <f>Z!B70</f>
        <v>EKAD</v>
      </c>
      <c r="C73" s="49" t="str">
        <f>Z!C70</f>
        <v xml:space="preserve">EKADHARMA INTERNATIONAL </v>
      </c>
      <c r="D73" s="43">
        <v>26453643952</v>
      </c>
      <c r="E73" s="43">
        <v>102649309681</v>
      </c>
      <c r="F73" s="48">
        <f t="shared" ref="F73:F136" si="5">D73/E73</f>
        <v>0.25770893183996219</v>
      </c>
      <c r="G73" s="43">
        <v>29115691717</v>
      </c>
      <c r="H73" s="43">
        <v>101455416901</v>
      </c>
      <c r="I73" s="48">
        <f t="shared" si="3"/>
        <v>0.28698015942718008</v>
      </c>
      <c r="J73" s="43">
        <v>30483889023</v>
      </c>
      <c r="K73" s="43">
        <v>111834501966</v>
      </c>
      <c r="L73" s="48">
        <f t="shared" si="4"/>
        <v>0.27258036193756852</v>
      </c>
      <c r="R73" s="40" t="s">
        <v>615</v>
      </c>
      <c r="S73" s="40">
        <v>6.2834628640544926E-2</v>
      </c>
    </row>
    <row r="74" spans="2:19" x14ac:dyDescent="0.2">
      <c r="B74" s="48" t="str">
        <f>Z!B71</f>
        <v>FASW</v>
      </c>
      <c r="C74" s="49"/>
      <c r="D74" s="43">
        <v>88495020674</v>
      </c>
      <c r="E74" s="43">
        <v>824530694900</v>
      </c>
      <c r="F74" s="48">
        <f t="shared" si="5"/>
        <v>0.10732774561501653</v>
      </c>
      <c r="G74" s="43">
        <v>220967658625</v>
      </c>
      <c r="H74" s="43">
        <v>1988090191158</v>
      </c>
      <c r="I74" s="48">
        <f t="shared" si="3"/>
        <v>0.11114569128088364</v>
      </c>
      <c r="J74" s="43">
        <v>529197976136</v>
      </c>
      <c r="K74" s="43">
        <v>1220595729710</v>
      </c>
      <c r="L74" s="48">
        <f t="shared" si="4"/>
        <v>0.43355712563547272</v>
      </c>
      <c r="R74" s="364" t="s">
        <v>615</v>
      </c>
      <c r="S74" s="40">
        <v>0.14586246123790303</v>
      </c>
    </row>
    <row r="75" spans="2:19" x14ac:dyDescent="0.2">
      <c r="B75" s="48" t="str">
        <f>Z!B72</f>
        <v>INKP</v>
      </c>
      <c r="C75" s="49"/>
      <c r="D75" s="43">
        <v>0</v>
      </c>
      <c r="E75" s="43">
        <f>457087000*N8</f>
        <v>6192614676000</v>
      </c>
      <c r="F75" s="48">
        <f t="shared" si="5"/>
        <v>0</v>
      </c>
      <c r="G75" s="43">
        <f>38182000*O8</f>
        <v>553639000000</v>
      </c>
      <c r="H75" s="43">
        <f>735755000*O8</f>
        <v>10668447500000</v>
      </c>
      <c r="I75" s="48">
        <f t="shared" si="3"/>
        <v>5.1894992218877209E-2</v>
      </c>
      <c r="J75" s="43">
        <f>155546000*P8</f>
        <v>2177799546000</v>
      </c>
      <c r="K75" s="43">
        <f>397897000*P8</f>
        <v>5570955897000</v>
      </c>
      <c r="L75" s="48">
        <f t="shared" si="4"/>
        <v>0.39092026328421675</v>
      </c>
      <c r="R75" s="365" t="s">
        <v>615</v>
      </c>
      <c r="S75" s="40">
        <v>7.0144385089421002E-2</v>
      </c>
    </row>
    <row r="76" spans="2:19" x14ac:dyDescent="0.2">
      <c r="B76" s="48" t="str">
        <f>Z!B73</f>
        <v>INTP</v>
      </c>
      <c r="C76" s="49"/>
      <c r="D76" s="43">
        <v>274627000000</v>
      </c>
      <c r="E76" s="43">
        <v>2287989000000</v>
      </c>
      <c r="F76" s="48">
        <f t="shared" si="5"/>
        <v>0.12002986028341919</v>
      </c>
      <c r="G76" s="43">
        <v>167132000000</v>
      </c>
      <c r="H76" s="43">
        <v>1400822000000</v>
      </c>
      <c r="I76" s="48">
        <f t="shared" si="3"/>
        <v>0.11930994801623618</v>
      </c>
      <c r="J76" s="43">
        <v>76104000000</v>
      </c>
      <c r="K76" s="43">
        <v>2274833000000</v>
      </c>
      <c r="L76" s="48">
        <f t="shared" si="4"/>
        <v>3.3454763492528905E-2</v>
      </c>
      <c r="R76" s="45" t="s">
        <v>247</v>
      </c>
      <c r="S76" s="45">
        <v>-1.7508339900388418E-2</v>
      </c>
    </row>
    <row r="77" spans="2:19" x14ac:dyDescent="0.2">
      <c r="B77" s="48" t="str">
        <f>Z!B74</f>
        <v>IPOL</v>
      </c>
      <c r="C77" s="49"/>
      <c r="D77" s="43">
        <v>0</v>
      </c>
      <c r="E77" s="43">
        <f>3503358*N8</f>
        <v>47463494184</v>
      </c>
      <c r="F77" s="48">
        <f t="shared" si="5"/>
        <v>0</v>
      </c>
      <c r="G77" s="43">
        <f>3971207*O8</f>
        <v>57582501500</v>
      </c>
      <c r="H77" s="43">
        <f>7638710*O8</f>
        <v>110761295000</v>
      </c>
      <c r="I77" s="48">
        <f t="shared" si="3"/>
        <v>0.51987927280915236</v>
      </c>
      <c r="J77" s="43">
        <f>1325822*P8</f>
        <v>18562833822</v>
      </c>
      <c r="K77" s="43">
        <f>6599508*P8</f>
        <v>92399711508</v>
      </c>
      <c r="L77" s="48">
        <f t="shared" si="4"/>
        <v>0.20089709717754717</v>
      </c>
      <c r="R77" s="359" t="s">
        <v>247</v>
      </c>
      <c r="S77" s="45">
        <v>-5.7144505542055472E-4</v>
      </c>
    </row>
    <row r="78" spans="2:19" x14ac:dyDescent="0.2">
      <c r="B78" s="48" t="str">
        <f>Z!B75</f>
        <v>JAPFA</v>
      </c>
      <c r="C78" s="49"/>
      <c r="D78" s="43">
        <v>674877000000</v>
      </c>
      <c r="E78" s="43">
        <v>1740595000000</v>
      </c>
      <c r="F78" s="48">
        <f t="shared" si="5"/>
        <v>0.38772775976031187</v>
      </c>
      <c r="G78" s="43">
        <v>773175000000</v>
      </c>
      <c r="H78" s="43">
        <v>34012965000000</v>
      </c>
      <c r="I78" s="48">
        <f t="shared" si="3"/>
        <v>2.273177301655413E-2</v>
      </c>
      <c r="J78" s="43">
        <v>1212233000000</v>
      </c>
      <c r="K78" s="43">
        <v>36742561000000</v>
      </c>
      <c r="L78" s="48">
        <f t="shared" si="4"/>
        <v>3.2992610395339614E-2</v>
      </c>
      <c r="R78" s="93" t="s">
        <v>247</v>
      </c>
      <c r="S78" s="45">
        <v>2.3696037042080894E-2</v>
      </c>
    </row>
    <row r="79" spans="2:19" x14ac:dyDescent="0.2">
      <c r="B79" s="48" t="str">
        <f>Z!B76</f>
        <v>LION</v>
      </c>
      <c r="C79" s="49"/>
      <c r="D79" s="43">
        <v>12430253792</v>
      </c>
      <c r="E79" s="43">
        <v>20175438794</v>
      </c>
      <c r="F79" s="48">
        <f t="shared" si="5"/>
        <v>0.61610822539813359</v>
      </c>
      <c r="G79" s="43">
        <v>7979956206</v>
      </c>
      <c r="H79" s="43">
        <v>23908625171</v>
      </c>
      <c r="I79" s="48">
        <f t="shared" si="3"/>
        <v>0.33376892853208889</v>
      </c>
      <c r="J79" s="43">
        <v>7132482607</v>
      </c>
      <c r="K79" s="43">
        <v>5763388287</v>
      </c>
      <c r="L79" s="48">
        <f t="shared" si="4"/>
        <v>1.2375502485383734</v>
      </c>
      <c r="R79" s="45" t="s">
        <v>136</v>
      </c>
      <c r="S79" s="45">
        <v>8.7878589222499012E-2</v>
      </c>
    </row>
    <row r="80" spans="2:19" x14ac:dyDescent="0.2">
      <c r="B80" s="48" t="str">
        <f>Z!B77</f>
        <v>MAIN</v>
      </c>
      <c r="C80" s="49"/>
      <c r="D80" s="43">
        <v>0</v>
      </c>
      <c r="E80" s="43">
        <v>4359212000</v>
      </c>
      <c r="F80" s="48">
        <f t="shared" si="5"/>
        <v>0</v>
      </c>
      <c r="G80" s="43">
        <v>59332110000</v>
      </c>
      <c r="H80" s="43">
        <v>398187122000</v>
      </c>
      <c r="I80" s="48">
        <f t="shared" si="3"/>
        <v>0.14900559742361533</v>
      </c>
      <c r="J80" s="43">
        <v>171577374000</v>
      </c>
      <c r="K80" s="43">
        <v>248776840000</v>
      </c>
      <c r="L80" s="48">
        <f t="shared" si="4"/>
        <v>0.68968387089409122</v>
      </c>
      <c r="R80" s="359" t="s">
        <v>136</v>
      </c>
      <c r="S80" s="45">
        <v>0.35941265794569593</v>
      </c>
    </row>
    <row r="81" spans="2:19" x14ac:dyDescent="0.2">
      <c r="B81" s="48" t="str">
        <f>Z!B78</f>
        <v>MARK</v>
      </c>
      <c r="C81" s="49"/>
      <c r="D81" s="43">
        <v>12902849685</v>
      </c>
      <c r="E81" s="43">
        <v>64422123842</v>
      </c>
      <c r="F81" s="48">
        <f t="shared" si="5"/>
        <v>0.20028600293658727</v>
      </c>
      <c r="G81" s="43">
        <v>34290737594</v>
      </c>
      <c r="H81" s="43">
        <v>111210294119</v>
      </c>
      <c r="I81" s="48">
        <f t="shared" si="3"/>
        <v>0.30834139829993951</v>
      </c>
      <c r="J81" s="43">
        <v>41153608946</v>
      </c>
      <c r="K81" s="43">
        <v>118687394018</v>
      </c>
      <c r="L81" s="48">
        <f t="shared" si="4"/>
        <v>0.34673951085115823</v>
      </c>
      <c r="R81" s="93" t="s">
        <v>136</v>
      </c>
      <c r="S81" s="45">
        <v>0.18411298492342532</v>
      </c>
    </row>
    <row r="82" spans="2:19" x14ac:dyDescent="0.2">
      <c r="B82" s="48" t="str">
        <f>Z!B79</f>
        <v>SMCB</v>
      </c>
      <c r="C82" s="49"/>
      <c r="D82" s="43">
        <v>51709000000</v>
      </c>
      <c r="E82" s="43">
        <v>221860000000</v>
      </c>
      <c r="F82" s="48">
        <f t="shared" si="5"/>
        <v>0.2330704047597584</v>
      </c>
      <c r="G82" s="43">
        <v>31656000000</v>
      </c>
      <c r="H82" s="43">
        <v>44598000000</v>
      </c>
      <c r="I82" s="48">
        <f t="shared" si="3"/>
        <v>0.70980761469124176</v>
      </c>
      <c r="J82" s="43">
        <v>309776000000</v>
      </c>
      <c r="K82" s="43">
        <v>1246125000000</v>
      </c>
      <c r="L82" s="48">
        <f t="shared" si="4"/>
        <v>0.2485914334436754</v>
      </c>
      <c r="R82" s="45" t="s">
        <v>250</v>
      </c>
      <c r="S82" s="45">
        <v>5.5963691081274266E-3</v>
      </c>
    </row>
    <row r="83" spans="2:19" x14ac:dyDescent="0.2">
      <c r="B83" s="48" t="str">
        <f>Z!B80</f>
        <v>SGMR</v>
      </c>
      <c r="C83" s="49"/>
      <c r="D83" s="43">
        <v>1147544131000</v>
      </c>
      <c r="E83" s="43">
        <v>2746546363000</v>
      </c>
      <c r="F83" s="48">
        <f t="shared" si="5"/>
        <v>0.41781349350555275</v>
      </c>
      <c r="G83" s="43">
        <v>542907000000</v>
      </c>
      <c r="H83" s="43">
        <v>4104959000000</v>
      </c>
      <c r="I83" s="48">
        <f t="shared" si="3"/>
        <v>0.13225637576404539</v>
      </c>
      <c r="J83" s="43">
        <v>616721000000</v>
      </c>
      <c r="K83" s="43">
        <v>3195775000000</v>
      </c>
      <c r="L83" s="48">
        <f t="shared" si="4"/>
        <v>0.19298010654692524</v>
      </c>
      <c r="R83" s="359" t="s">
        <v>250</v>
      </c>
      <c r="S83" s="45">
        <v>1.3104770805472349E-3</v>
      </c>
    </row>
    <row r="84" spans="2:19" x14ac:dyDescent="0.2">
      <c r="B84" s="48" t="str">
        <f>Z!B81</f>
        <v>TRST</v>
      </c>
      <c r="C84" s="49"/>
      <c r="D84" s="43">
        <v>15003168012</v>
      </c>
      <c r="E84" s="43">
        <v>12513681277</v>
      </c>
      <c r="F84" s="48">
        <f t="shared" si="5"/>
        <v>1.1989411972299189</v>
      </c>
      <c r="G84" s="43">
        <v>20328919188</v>
      </c>
      <c r="H84" s="43">
        <v>36216675439</v>
      </c>
      <c r="I84" s="48">
        <f t="shared" si="3"/>
        <v>0.56131378547542665</v>
      </c>
      <c r="J84" s="43">
        <v>18416717612</v>
      </c>
      <c r="K84" s="43">
        <v>17514074859</v>
      </c>
      <c r="L84" s="48">
        <f t="shared" si="4"/>
        <v>1.051538134915311</v>
      </c>
      <c r="R84" s="93" t="s">
        <v>250</v>
      </c>
      <c r="S84" s="45">
        <v>7.2385571131427665E-3</v>
      </c>
    </row>
    <row r="85" spans="2:19" x14ac:dyDescent="0.2">
      <c r="B85" s="48" t="str">
        <f>Z!B82</f>
        <v>UNIC</v>
      </c>
      <c r="C85" s="49"/>
      <c r="D85" s="43">
        <f>5179417*N8</f>
        <v>70170741516</v>
      </c>
      <c r="E85" s="43">
        <f>17653780*N8</f>
        <v>239173411440</v>
      </c>
      <c r="F85" s="48">
        <f t="shared" si="5"/>
        <v>0.29338855474578251</v>
      </c>
      <c r="G85" s="43">
        <f>4271315*O8</f>
        <v>61934067500</v>
      </c>
      <c r="H85" s="43">
        <f>28142043*O8</f>
        <v>408059623500</v>
      </c>
      <c r="I85" s="48">
        <f t="shared" si="3"/>
        <v>0.15177700496015872</v>
      </c>
      <c r="J85" s="43">
        <f>7595813*P8</f>
        <v>106348977813</v>
      </c>
      <c r="K85" s="43">
        <f>13744404*P8</f>
        <v>192435400404</v>
      </c>
      <c r="L85" s="48">
        <f t="shared" si="4"/>
        <v>0.55264768119447016</v>
      </c>
      <c r="R85" s="45" t="s">
        <v>57</v>
      </c>
      <c r="S85" s="45">
        <v>-0.30296279795054576</v>
      </c>
    </row>
    <row r="86" spans="2:19" x14ac:dyDescent="0.2">
      <c r="B86" s="48" t="str">
        <f>Z!B83</f>
        <v>ASII</v>
      </c>
      <c r="C86" s="49"/>
      <c r="D86" s="43">
        <v>649000000000</v>
      </c>
      <c r="E86" s="43">
        <v>14394000000000</v>
      </c>
      <c r="F86" s="48">
        <f t="shared" si="5"/>
        <v>4.5088231207447545E-2</v>
      </c>
      <c r="G86" s="43">
        <v>574000000000</v>
      </c>
      <c r="H86" s="43">
        <v>90507000000000</v>
      </c>
      <c r="I86" s="48">
        <f t="shared" si="3"/>
        <v>6.3420508910912972E-3</v>
      </c>
      <c r="J86" s="43">
        <v>656000000000</v>
      </c>
      <c r="K86" s="43">
        <v>87756000000000</v>
      </c>
      <c r="L86" s="48">
        <f t="shared" si="4"/>
        <v>7.4752723460504121E-3</v>
      </c>
      <c r="R86" s="359" t="s">
        <v>57</v>
      </c>
      <c r="S86" s="45">
        <v>-0.12793818992517442</v>
      </c>
    </row>
    <row r="87" spans="2:19" x14ac:dyDescent="0.2">
      <c r="B87" s="48" t="str">
        <f>Z!B84</f>
        <v>AUTO</v>
      </c>
      <c r="C87" s="49"/>
      <c r="D87" s="43">
        <v>289787000000</v>
      </c>
      <c r="E87" s="43">
        <v>711936000000</v>
      </c>
      <c r="F87" s="48">
        <f t="shared" si="5"/>
        <v>0.40704080142035237</v>
      </c>
      <c r="G87" s="43">
        <v>277099000000</v>
      </c>
      <c r="H87" s="43">
        <v>861563000000</v>
      </c>
      <c r="I87" s="48">
        <f t="shared" si="3"/>
        <v>0.32162360732761275</v>
      </c>
      <c r="J87" s="43">
        <v>223688000000</v>
      </c>
      <c r="K87" s="43">
        <v>1119858000000</v>
      </c>
      <c r="L87" s="48">
        <f t="shared" si="4"/>
        <v>0.19974675360626079</v>
      </c>
      <c r="R87" s="93" t="s">
        <v>57</v>
      </c>
      <c r="S87" s="45">
        <v>-1.0579200310236417E-2</v>
      </c>
    </row>
    <row r="88" spans="2:19" x14ac:dyDescent="0.2">
      <c r="B88" s="48" t="str">
        <f>Z!B85</f>
        <v>BATA</v>
      </c>
      <c r="C88" s="49"/>
      <c r="D88" s="43">
        <v>22005123000</v>
      </c>
      <c r="E88" s="43">
        <v>79524179000</v>
      </c>
      <c r="F88" s="48">
        <f t="shared" si="5"/>
        <v>0.2767098419211596</v>
      </c>
      <c r="G88" s="43">
        <v>34031709000</v>
      </c>
      <c r="H88" s="43">
        <v>92878105000</v>
      </c>
      <c r="I88" s="48">
        <f t="shared" si="3"/>
        <v>0.36641261145455112</v>
      </c>
      <c r="J88" s="43">
        <v>25482096000</v>
      </c>
      <c r="K88" s="43">
        <v>35857813000</v>
      </c>
      <c r="L88" s="48">
        <f t="shared" si="4"/>
        <v>0.71064278236935419</v>
      </c>
      <c r="R88" s="40" t="s">
        <v>349</v>
      </c>
      <c r="S88" s="40">
        <v>0.10066219973271791</v>
      </c>
    </row>
    <row r="89" spans="2:19" x14ac:dyDescent="0.2">
      <c r="B89" s="48" t="str">
        <f>Z!B86</f>
        <v>BRAM</v>
      </c>
      <c r="C89" s="49"/>
      <c r="D89" s="43">
        <f>10182873*N8</f>
        <v>137957563404</v>
      </c>
      <c r="E89" s="43">
        <f>34069438*N8</f>
        <v>461572746024</v>
      </c>
      <c r="F89" s="48">
        <f t="shared" si="5"/>
        <v>0.29888585188872208</v>
      </c>
      <c r="G89" s="43">
        <f>9318241*O8</f>
        <v>135114494500</v>
      </c>
      <c r="H89" s="43">
        <f>27097002*O8</f>
        <v>392906529000</v>
      </c>
      <c r="I89" s="48">
        <f t="shared" si="3"/>
        <v>0.3438845743894472</v>
      </c>
      <c r="J89" s="43">
        <f>7078438*P8</f>
        <v>99105210438</v>
      </c>
      <c r="K89" s="43">
        <f>20538844*P8</f>
        <v>287564354844</v>
      </c>
      <c r="L89" s="48">
        <f t="shared" si="4"/>
        <v>0.34463663096131408</v>
      </c>
      <c r="R89" s="364" t="s">
        <v>349</v>
      </c>
      <c r="S89" s="40">
        <v>0.21885729874731566</v>
      </c>
    </row>
    <row r="90" spans="2:19" x14ac:dyDescent="0.2">
      <c r="B90" s="48" t="str">
        <f>Z!B87</f>
        <v>GDYR</v>
      </c>
      <c r="C90" s="49"/>
      <c r="D90" s="43">
        <f>1786434*N8</f>
        <v>24202607832</v>
      </c>
      <c r="E90" s="43">
        <f>-265931*N8</f>
        <v>-3602833188</v>
      </c>
      <c r="F90" s="48">
        <f t="shared" si="5"/>
        <v>-6.7176598440948965</v>
      </c>
      <c r="G90" s="43">
        <f>1749039*O8</f>
        <v>25361065500</v>
      </c>
      <c r="H90" s="43">
        <f>1028150*O8</f>
        <v>14908175000</v>
      </c>
      <c r="I90" s="48">
        <f t="shared" si="3"/>
        <v>1.7011515829402324</v>
      </c>
      <c r="J90" s="43">
        <f>1720274*P8</f>
        <v>24085556274</v>
      </c>
      <c r="K90" s="43">
        <f>2184*P8</f>
        <v>30578184</v>
      </c>
      <c r="L90" s="48">
        <f t="shared" si="4"/>
        <v>787.67124542124543</v>
      </c>
      <c r="R90" s="365" t="s">
        <v>349</v>
      </c>
      <c r="S90" s="40">
        <v>0.68274162337938016</v>
      </c>
    </row>
    <row r="91" spans="2:19" x14ac:dyDescent="0.2">
      <c r="B91" s="48" t="str">
        <f>Z!B88</f>
        <v>GJTL</v>
      </c>
      <c r="C91" s="49"/>
      <c r="D91" s="43">
        <f>239880000000-176825000000</f>
        <v>63055000000</v>
      </c>
      <c r="E91" s="43">
        <v>106824000000</v>
      </c>
      <c r="F91" s="48">
        <f t="shared" si="5"/>
        <v>0.5902699767842432</v>
      </c>
      <c r="G91" s="43">
        <f>162840000000-24318000000</f>
        <v>138522000000</v>
      </c>
      <c r="H91" s="43">
        <v>-85585000000</v>
      </c>
      <c r="I91" s="48">
        <f t="shared" si="3"/>
        <v>-1.6185312846877373</v>
      </c>
      <c r="J91" s="43">
        <f>231577000000-176960000000</f>
        <v>54617000000</v>
      </c>
      <c r="K91" s="43">
        <v>457876000000</v>
      </c>
      <c r="L91" s="48">
        <f t="shared" si="4"/>
        <v>0.11928338676847007</v>
      </c>
      <c r="R91" s="40" t="s">
        <v>142</v>
      </c>
      <c r="S91" s="40">
        <v>0.3396427203266621</v>
      </c>
    </row>
    <row r="92" spans="2:19" x14ac:dyDescent="0.2">
      <c r="B92" s="48" t="str">
        <f>Z!B89</f>
        <v>GMFI</v>
      </c>
      <c r="C92" s="49"/>
      <c r="D92" s="43">
        <f>16786663*N8</f>
        <v>227425710324</v>
      </c>
      <c r="E92" s="43">
        <f>67748873*N8</f>
        <v>917861731404</v>
      </c>
      <c r="F92" s="48">
        <f t="shared" si="5"/>
        <v>0.2477777453213133</v>
      </c>
      <c r="G92" s="43">
        <f>14640951*O8</f>
        <v>212293789500</v>
      </c>
      <c r="H92" s="43">
        <f>21084902*O8</f>
        <v>305731079000</v>
      </c>
      <c r="I92" s="48">
        <f t="shared" si="3"/>
        <v>0.694380794371252</v>
      </c>
      <c r="J92" s="43">
        <f>6047778*P8</f>
        <v>84674939778</v>
      </c>
      <c r="K92" s="43">
        <f>-2155288*P8</f>
        <v>-30176187288</v>
      </c>
      <c r="L92" s="48">
        <f t="shared" si="4"/>
        <v>-2.8060184996158286</v>
      </c>
      <c r="R92" s="364" t="s">
        <v>142</v>
      </c>
      <c r="S92" s="40">
        <v>0.4135082413071835</v>
      </c>
    </row>
    <row r="93" spans="2:19" x14ac:dyDescent="0.2">
      <c r="B93" s="48" t="str">
        <f>Z!B90</f>
        <v>HDTX</v>
      </c>
      <c r="C93" s="49"/>
      <c r="D93" s="43">
        <v>0</v>
      </c>
      <c r="E93" s="43">
        <v>-700884530000</v>
      </c>
      <c r="F93" s="48">
        <f t="shared" si="5"/>
        <v>0</v>
      </c>
      <c r="G93" s="43">
        <v>0</v>
      </c>
      <c r="H93" s="43">
        <v>-355511627000</v>
      </c>
      <c r="I93" s="48">
        <f t="shared" si="3"/>
        <v>0</v>
      </c>
      <c r="J93" s="43">
        <v>0</v>
      </c>
      <c r="K93" s="43">
        <f>-68729926000</f>
        <v>-68729926000</v>
      </c>
      <c r="L93" s="48">
        <f t="shared" si="4"/>
        <v>0</v>
      </c>
      <c r="R93" s="365" t="s">
        <v>142</v>
      </c>
      <c r="S93" s="40">
        <v>0.17895124770901968</v>
      </c>
    </row>
    <row r="94" spans="2:19" x14ac:dyDescent="0.2">
      <c r="B94" s="48" t="str">
        <f>Z!B91</f>
        <v>IMAS</v>
      </c>
      <c r="C94" s="49"/>
      <c r="D94" s="43">
        <v>568542087610</v>
      </c>
      <c r="E94" s="43">
        <v>148460616030</v>
      </c>
      <c r="F94" s="48">
        <f t="shared" si="5"/>
        <v>3.8295818972966713</v>
      </c>
      <c r="G94" s="43">
        <v>723181120878</v>
      </c>
      <c r="H94" s="43">
        <v>149499524990</v>
      </c>
      <c r="I94" s="48">
        <f t="shared" si="3"/>
        <v>4.8373472820490466</v>
      </c>
      <c r="J94" s="43">
        <v>607044059380</v>
      </c>
      <c r="K94" s="43">
        <v>400869641151</v>
      </c>
      <c r="L94" s="48">
        <f t="shared" si="4"/>
        <v>1.514317865620904</v>
      </c>
      <c r="R94" s="45" t="s">
        <v>419</v>
      </c>
      <c r="S94" s="45">
        <v>0.44627661289951026</v>
      </c>
    </row>
    <row r="95" spans="2:19" x14ac:dyDescent="0.2">
      <c r="B95" s="48" t="str">
        <f>Z!B92</f>
        <v>INDR</v>
      </c>
      <c r="C95" s="49"/>
      <c r="D95" s="43">
        <f>(14320305-5683580)*N8</f>
        <v>117010350300</v>
      </c>
      <c r="E95" s="43">
        <f>11879895*N8</f>
        <v>160948817460</v>
      </c>
      <c r="F95" s="48">
        <f t="shared" si="5"/>
        <v>0.7270034794078567</v>
      </c>
      <c r="G95" s="43">
        <f>(3488911-2539652)*O8</f>
        <v>13764255500</v>
      </c>
      <c r="H95" s="43">
        <f>71343143*O8</f>
        <v>1034475573500</v>
      </c>
      <c r="I95" s="48">
        <f t="shared" si="3"/>
        <v>1.3305539398509538E-2</v>
      </c>
      <c r="J95" s="43">
        <f>(2428625-1434613)*P8</f>
        <v>13917162012</v>
      </c>
      <c r="K95" s="43">
        <f>42633660*P8</f>
        <v>596913873660</v>
      </c>
      <c r="L95" s="48">
        <f t="shared" si="4"/>
        <v>2.3315192737381685E-2</v>
      </c>
      <c r="R95" s="359" t="s">
        <v>419</v>
      </c>
      <c r="S95" s="45">
        <v>0.15544158456133722</v>
      </c>
    </row>
    <row r="96" spans="2:19" x14ac:dyDescent="0.2">
      <c r="B96" s="48" t="str">
        <f>Z!B93</f>
        <v>KBLI</v>
      </c>
      <c r="C96" s="49"/>
      <c r="D96" s="43">
        <f>104974127449-5521644808</f>
        <v>99452482641</v>
      </c>
      <c r="E96" s="43">
        <v>428884879225</v>
      </c>
      <c r="F96" s="48">
        <f t="shared" si="5"/>
        <v>0.23188619477728337</v>
      </c>
      <c r="G96" s="43">
        <v>49693745885</v>
      </c>
      <c r="H96" s="43">
        <v>308977208238</v>
      </c>
      <c r="I96" s="48">
        <f t="shared" si="3"/>
        <v>0.1608330470988065</v>
      </c>
      <c r="J96" s="43">
        <f>97775453785-12463610727</f>
        <v>85311843058</v>
      </c>
      <c r="K96" s="43">
        <v>499080077892</v>
      </c>
      <c r="L96" s="48">
        <f t="shared" si="4"/>
        <v>0.17093818574834263</v>
      </c>
      <c r="R96" s="93" t="s">
        <v>419</v>
      </c>
      <c r="S96" s="45">
        <v>0.42428357356028129</v>
      </c>
    </row>
    <row r="97" spans="2:19" x14ac:dyDescent="0.2">
      <c r="B97" s="48" t="str">
        <f>Z!B94</f>
        <v>MASA</v>
      </c>
      <c r="C97" s="49"/>
      <c r="D97" s="43">
        <f>(772918-547070)*N8</f>
        <v>3059788704</v>
      </c>
      <c r="E97" s="43">
        <f>-7262972*N8</f>
        <v>-98398744656</v>
      </c>
      <c r="F97" s="48">
        <f t="shared" si="5"/>
        <v>-3.1095810365233408E-2</v>
      </c>
      <c r="G97" s="43">
        <f>(992819-772918)*O8</f>
        <v>3188564500</v>
      </c>
      <c r="H97" s="43">
        <f>-44629075*O8</f>
        <v>-647121587500</v>
      </c>
      <c r="I97" s="48">
        <f t="shared" si="3"/>
        <v>-4.9273035571541649E-3</v>
      </c>
      <c r="J97" s="43">
        <f>(1058411-461893)*O8</f>
        <v>8649511000</v>
      </c>
      <c r="K97" s="43">
        <f>9207407*P8</f>
        <v>128912905407</v>
      </c>
      <c r="L97" s="48">
        <f t="shared" si="4"/>
        <v>6.7095772705548923E-2</v>
      </c>
      <c r="R97" s="40" t="s">
        <v>423</v>
      </c>
      <c r="S97" s="40">
        <v>-2.9051273814485353E-2</v>
      </c>
    </row>
    <row r="98" spans="2:19" x14ac:dyDescent="0.2">
      <c r="B98" s="48" t="str">
        <f>Z!B95</f>
        <v>PBRX</v>
      </c>
      <c r="C98" s="49"/>
      <c r="D98" s="43">
        <f>(6568705-2379536)*N8</f>
        <v>56754861612</v>
      </c>
      <c r="E98" s="43">
        <f>10954185*N8</f>
        <v>148407298380</v>
      </c>
      <c r="F98" s="48">
        <f t="shared" si="5"/>
        <v>0.38242635120732393</v>
      </c>
      <c r="G98" s="43">
        <f>(5466538-1946008)*O8</f>
        <v>51047685000</v>
      </c>
      <c r="H98" s="43">
        <f>20548035*O8</f>
        <v>297946507500</v>
      </c>
      <c r="I98" s="48">
        <f t="shared" si="3"/>
        <v>0.17133171128042171</v>
      </c>
      <c r="J98" s="43">
        <f>(5768569-2808518)*P8</f>
        <v>41443674051</v>
      </c>
      <c r="K98" s="43">
        <f>24371084*P8</f>
        <v>341219547084</v>
      </c>
      <c r="L98" s="48">
        <f t="shared" si="4"/>
        <v>0.12145750266996741</v>
      </c>
      <c r="R98" s="364" t="s">
        <v>423</v>
      </c>
      <c r="S98" s="40">
        <v>3.06681150955035E-2</v>
      </c>
    </row>
    <row r="99" spans="2:19" x14ac:dyDescent="0.2">
      <c r="B99" s="48" t="str">
        <f>Z!B96</f>
        <v>PTSN</v>
      </c>
      <c r="C99" s="49"/>
      <c r="D99" s="43">
        <f>1074310*N8</f>
        <v>14554751880</v>
      </c>
      <c r="E99" s="43">
        <f>759306*N8</f>
        <v>10287077688</v>
      </c>
      <c r="F99" s="48">
        <f t="shared" si="5"/>
        <v>1.4148577780236162</v>
      </c>
      <c r="G99" s="43">
        <f>1698458*O8</f>
        <v>24627641000</v>
      </c>
      <c r="H99" s="43">
        <f>16391910*O8</f>
        <v>237682695000</v>
      </c>
      <c r="I99" s="48">
        <f t="shared" si="3"/>
        <v>0.10361562502478357</v>
      </c>
      <c r="J99" s="43">
        <f>3324572*P8</f>
        <v>46547332572</v>
      </c>
      <c r="K99" s="43">
        <f>1346322*P8</f>
        <v>18849854322</v>
      </c>
      <c r="L99" s="48">
        <f t="shared" si="4"/>
        <v>2.4693735971038131</v>
      </c>
      <c r="R99" s="365" t="s">
        <v>423</v>
      </c>
      <c r="S99" s="40">
        <v>-0.10682588858868085</v>
      </c>
    </row>
    <row r="100" spans="2:19" x14ac:dyDescent="0.2">
      <c r="B100" s="48" t="str">
        <f>Z!B97</f>
        <v>RICY</v>
      </c>
      <c r="C100" s="49"/>
      <c r="D100" s="43">
        <v>11350912364</v>
      </c>
      <c r="E100" s="43">
        <v>25808846585</v>
      </c>
      <c r="F100" s="48">
        <f t="shared" si="5"/>
        <v>0.43980703773864521</v>
      </c>
      <c r="G100" s="43">
        <v>12587946082</v>
      </c>
      <c r="H100" s="43">
        <v>29841866355</v>
      </c>
      <c r="I100" s="48">
        <f t="shared" si="3"/>
        <v>0.42182167603906889</v>
      </c>
      <c r="J100" s="43">
        <v>16112682569</v>
      </c>
      <c r="K100" s="43">
        <v>28833894902</v>
      </c>
      <c r="L100" s="48">
        <f t="shared" si="4"/>
        <v>0.55881047717498544</v>
      </c>
      <c r="R100" s="45" t="s">
        <v>427</v>
      </c>
      <c r="S100" s="45">
        <v>7.4087389497604489E-2</v>
      </c>
    </row>
    <row r="101" spans="2:19" x14ac:dyDescent="0.2">
      <c r="B101" s="48" t="str">
        <f>Z!B98</f>
        <v>SMSM</v>
      </c>
      <c r="C101" s="49"/>
      <c r="D101" s="43">
        <v>167001000000</v>
      </c>
      <c r="E101" s="43">
        <f>720638000000</f>
        <v>720638000000</v>
      </c>
      <c r="F101" s="48">
        <f t="shared" si="5"/>
        <v>0.23174048551422491</v>
      </c>
      <c r="G101" s="43">
        <v>193018000000</v>
      </c>
      <c r="H101" s="43">
        <v>828281000000</v>
      </c>
      <c r="I101" s="48">
        <f t="shared" si="3"/>
        <v>0.233034441210169</v>
      </c>
      <c r="J101" s="43">
        <v>201818000000</v>
      </c>
      <c r="K101" s="43">
        <v>822042000000</v>
      </c>
      <c r="L101" s="48">
        <f t="shared" si="4"/>
        <v>0.24550813705382449</v>
      </c>
      <c r="R101" s="359" t="s">
        <v>427</v>
      </c>
      <c r="S101" s="45">
        <v>-7.5773757166554953E-3</v>
      </c>
    </row>
    <row r="102" spans="2:19" x14ac:dyDescent="0.2">
      <c r="B102" s="48" t="str">
        <f>Z!B99</f>
        <v>SRIL</v>
      </c>
      <c r="C102" s="49"/>
      <c r="D102" s="43">
        <f>11967788*N8</f>
        <v>162139591824</v>
      </c>
      <c r="E102" s="43">
        <f>72141142*N8</f>
        <v>977368191816</v>
      </c>
      <c r="F102" s="48">
        <f t="shared" si="5"/>
        <v>0.16589407470150666</v>
      </c>
      <c r="G102" s="43">
        <f>12945022*O8</f>
        <v>187702819000</v>
      </c>
      <c r="H102" s="43">
        <f>99413342*O8</f>
        <v>1441493459000</v>
      </c>
      <c r="I102" s="48">
        <f t="shared" si="3"/>
        <v>0.13021413162028092</v>
      </c>
      <c r="J102" s="43">
        <f>12622445*P8</f>
        <v>176726852445</v>
      </c>
      <c r="K102" s="43">
        <f>101548894*P8</f>
        <v>1421786064894</v>
      </c>
      <c r="L102" s="48">
        <f t="shared" si="4"/>
        <v>0.12429918734516203</v>
      </c>
      <c r="R102" s="93" t="s">
        <v>427</v>
      </c>
      <c r="S102" s="45">
        <v>2.5804902940351496E-2</v>
      </c>
    </row>
    <row r="103" spans="2:19" x14ac:dyDescent="0.2">
      <c r="B103" s="48" t="str">
        <f>Z!B100</f>
        <v>VOKS</v>
      </c>
      <c r="C103" s="49"/>
      <c r="D103" s="43">
        <f>125333754671-55819301082</f>
        <v>69514453589</v>
      </c>
      <c r="E103" s="43">
        <v>230242661579</v>
      </c>
      <c r="F103" s="48">
        <f t="shared" si="5"/>
        <v>0.30191821581748202</v>
      </c>
      <c r="G103" s="43">
        <f>145526446588-75484876059</f>
        <v>70041570529</v>
      </c>
      <c r="H103" s="43">
        <v>141989954853</v>
      </c>
      <c r="I103" s="48">
        <f t="shared" si="3"/>
        <v>0.49328539192447068</v>
      </c>
      <c r="J103" s="43">
        <f>108328948691-74474761454</f>
        <v>33854187237</v>
      </c>
      <c r="K103" s="43">
        <v>258947121683</v>
      </c>
      <c r="L103" s="48">
        <f t="shared" si="4"/>
        <v>0.13073783951321111</v>
      </c>
      <c r="R103" s="45" t="s">
        <v>622</v>
      </c>
      <c r="S103" s="45">
        <v>0.22033061302159532</v>
      </c>
    </row>
    <row r="104" spans="2:19" s="202" customFormat="1" x14ac:dyDescent="0.2">
      <c r="B104" s="198" t="str">
        <f>Z!B101</f>
        <v>ACST</v>
      </c>
      <c r="C104" s="199"/>
      <c r="D104" s="200">
        <v>2984000000</v>
      </c>
      <c r="E104" s="201">
        <v>156775000000</v>
      </c>
      <c r="F104" s="198">
        <f>J104/E104</f>
        <v>2.7549035241588263E-2</v>
      </c>
      <c r="G104" s="201">
        <v>2807000000</v>
      </c>
      <c r="H104" s="201">
        <v>3725296000000</v>
      </c>
      <c r="I104" s="198">
        <f t="shared" si="3"/>
        <v>7.5349717176836418E-4</v>
      </c>
      <c r="J104" s="201">
        <v>4319000000</v>
      </c>
      <c r="K104" s="201">
        <v>3947173000000</v>
      </c>
      <c r="L104" s="198">
        <f t="shared" si="4"/>
        <v>1.0942008369027657E-3</v>
      </c>
      <c r="R104" s="359" t="s">
        <v>622</v>
      </c>
      <c r="S104" s="45">
        <v>0.16491096665931002</v>
      </c>
    </row>
    <row r="105" spans="2:19" x14ac:dyDescent="0.2">
      <c r="B105" s="48" t="str">
        <f>Z!B102</f>
        <v>APLN</v>
      </c>
      <c r="C105" s="49"/>
      <c r="D105" s="43">
        <f>23834519000+233721815000</f>
        <v>257556334000</v>
      </c>
      <c r="E105" s="43">
        <v>1896492410000</v>
      </c>
      <c r="F105" s="48">
        <f t="shared" si="5"/>
        <v>0.13580667797136081</v>
      </c>
      <c r="G105" s="43">
        <f>30635666000+126613288000</f>
        <v>157248954000</v>
      </c>
      <c r="H105" s="43">
        <v>208780396000</v>
      </c>
      <c r="I105" s="48">
        <f t="shared" si="3"/>
        <v>0.75317873235569488</v>
      </c>
      <c r="J105" s="43">
        <f>33450040000+154210123000</f>
        <v>187660163000</v>
      </c>
      <c r="K105" s="43">
        <v>131221349000</v>
      </c>
      <c r="L105" s="48">
        <f t="shared" si="4"/>
        <v>1.430103900242635</v>
      </c>
      <c r="R105" s="93" t="s">
        <v>622</v>
      </c>
      <c r="S105" s="45">
        <v>0.22330932420553493</v>
      </c>
    </row>
    <row r="106" spans="2:19" x14ac:dyDescent="0.2">
      <c r="B106" s="48" t="str">
        <f>Z!B103</f>
        <v>ASRI</v>
      </c>
      <c r="C106" s="49"/>
      <c r="D106" s="43">
        <v>178265786000</v>
      </c>
      <c r="E106" s="43">
        <v>1444664431000</v>
      </c>
      <c r="F106" s="48">
        <f t="shared" si="5"/>
        <v>0.12339598191436334</v>
      </c>
      <c r="G106" s="43">
        <v>155104363000</v>
      </c>
      <c r="H106" s="43">
        <v>1035272928000</v>
      </c>
      <c r="I106" s="48">
        <f t="shared" si="3"/>
        <v>0.14981978066367441</v>
      </c>
      <c r="J106" s="43">
        <v>159699097000</v>
      </c>
      <c r="K106" s="43">
        <v>1111329436000</v>
      </c>
      <c r="L106" s="48">
        <f t="shared" si="4"/>
        <v>0.14370095115522522</v>
      </c>
      <c r="R106" s="45" t="s">
        <v>630</v>
      </c>
      <c r="S106" s="45">
        <v>0.50586304384644376</v>
      </c>
    </row>
    <row r="107" spans="2:19" x14ac:dyDescent="0.2">
      <c r="B107" s="48" t="str">
        <f>Z!B104</f>
        <v>BSDE</v>
      </c>
      <c r="C107" s="49"/>
      <c r="D107" s="43">
        <f>323080405235+5426640004</f>
        <v>328507045239</v>
      </c>
      <c r="E107" s="43">
        <v>5228121059142</v>
      </c>
      <c r="F107" s="48">
        <f t="shared" si="5"/>
        <v>6.2834628640544926E-2</v>
      </c>
      <c r="G107" s="43">
        <f>252036319702+4742968454</f>
        <v>256779288156</v>
      </c>
      <c r="H107" s="43">
        <v>1760420645427</v>
      </c>
      <c r="I107" s="48">
        <f t="shared" si="3"/>
        <v>0.14586246123790303</v>
      </c>
      <c r="J107" s="43">
        <f>217389126112+4624692928</f>
        <v>222013819040</v>
      </c>
      <c r="K107" s="43">
        <v>3165097516458</v>
      </c>
      <c r="L107" s="48">
        <f t="shared" si="4"/>
        <v>7.0144385089421002E-2</v>
      </c>
      <c r="R107" s="359" t="s">
        <v>630</v>
      </c>
      <c r="S107" s="45">
        <v>0.8877283220348996</v>
      </c>
    </row>
    <row r="108" spans="2:19" x14ac:dyDescent="0.2">
      <c r="B108" s="48" t="str">
        <f>Z!B105</f>
        <v>CTRA</v>
      </c>
      <c r="C108" s="49"/>
      <c r="D108" s="43">
        <v>285992000000</v>
      </c>
      <c r="E108" s="43">
        <v>1298013000000</v>
      </c>
      <c r="F108" s="48">
        <f t="shared" si="5"/>
        <v>0.22033061302159532</v>
      </c>
      <c r="G108" s="43">
        <v>263768000000</v>
      </c>
      <c r="H108" s="43">
        <v>1599457000000</v>
      </c>
      <c r="I108" s="48">
        <f t="shared" si="3"/>
        <v>0.16491096665931002</v>
      </c>
      <c r="J108" s="43">
        <v>347269000000</v>
      </c>
      <c r="K108" s="43">
        <v>1555103000000</v>
      </c>
      <c r="L108" s="48">
        <f t="shared" si="4"/>
        <v>0.22330932420553493</v>
      </c>
      <c r="R108" s="93" t="s">
        <v>630</v>
      </c>
      <c r="S108" s="45">
        <v>0.21568952315512371</v>
      </c>
    </row>
    <row r="109" spans="2:19" x14ac:dyDescent="0.2">
      <c r="B109" s="48" t="str">
        <f>Z!B106</f>
        <v>DILD</v>
      </c>
      <c r="C109" s="49"/>
      <c r="D109" s="43">
        <v>87348768009</v>
      </c>
      <c r="E109" s="43">
        <v>172672760091</v>
      </c>
      <c r="F109" s="48">
        <f t="shared" si="5"/>
        <v>0.50586304384644376</v>
      </c>
      <c r="G109" s="43">
        <v>80206637683</v>
      </c>
      <c r="H109" s="43">
        <v>90350432325</v>
      </c>
      <c r="I109" s="48">
        <f t="shared" si="3"/>
        <v>0.8877283220348996</v>
      </c>
      <c r="J109" s="43">
        <v>92336837006</v>
      </c>
      <c r="K109" s="43">
        <v>428100705381</v>
      </c>
      <c r="L109" s="48">
        <f t="shared" si="4"/>
        <v>0.21568952315512371</v>
      </c>
      <c r="R109" s="40" t="s">
        <v>633</v>
      </c>
      <c r="S109" s="40">
        <v>6.821724960663049E-2</v>
      </c>
    </row>
    <row r="110" spans="2:19" x14ac:dyDescent="0.2">
      <c r="B110" s="48" t="str">
        <f>Z!B107</f>
        <v>DMAS</v>
      </c>
      <c r="C110" s="49"/>
      <c r="D110" s="43">
        <f>26491914290+19230266591</f>
        <v>45722180881</v>
      </c>
      <c r="E110" s="43">
        <v>670243686819</v>
      </c>
      <c r="F110" s="48">
        <f t="shared" si="5"/>
        <v>6.821724960663049E-2</v>
      </c>
      <c r="G110" s="43">
        <f>30982124024+10553762755</f>
        <v>41535886779</v>
      </c>
      <c r="H110" s="43">
        <v>514376079188</v>
      </c>
      <c r="I110" s="48">
        <f t="shared" si="3"/>
        <v>8.0750035741492934E-2</v>
      </c>
      <c r="J110" s="43">
        <f>70326762112+18649405078</f>
        <v>88976167190</v>
      </c>
      <c r="K110" s="43">
        <v>1350343016543</v>
      </c>
      <c r="L110" s="48">
        <f t="shared" si="4"/>
        <v>6.5891529855715489E-2</v>
      </c>
      <c r="R110" s="364" t="s">
        <v>633</v>
      </c>
      <c r="S110" s="40">
        <v>8.0750035741492934E-2</v>
      </c>
    </row>
    <row r="111" spans="2:19" x14ac:dyDescent="0.2">
      <c r="B111" s="48" t="str">
        <f>Z!B108</f>
        <v>ELTY</v>
      </c>
      <c r="C111" s="49"/>
      <c r="D111" s="43">
        <v>65620728548</v>
      </c>
      <c r="E111" s="43">
        <v>-310411776597</v>
      </c>
      <c r="F111" s="48">
        <f t="shared" si="5"/>
        <v>-0.21139896581048143</v>
      </c>
      <c r="G111" s="43">
        <v>21873860788</v>
      </c>
      <c r="H111" s="43">
        <v>2737063575261</v>
      </c>
      <c r="I111" s="48">
        <f t="shared" si="3"/>
        <v>7.9917255067464624E-3</v>
      </c>
      <c r="J111" s="43">
        <v>50618138127</v>
      </c>
      <c r="K111" s="43">
        <v>-812144548047</v>
      </c>
      <c r="L111" s="48">
        <f t="shared" si="4"/>
        <v>-6.2326513486698494E-2</v>
      </c>
      <c r="R111" s="365" t="s">
        <v>633</v>
      </c>
      <c r="S111" s="40">
        <v>6.5891529855715489E-2</v>
      </c>
    </row>
    <row r="112" spans="2:19" x14ac:dyDescent="0.2">
      <c r="B112" s="48" t="str">
        <f>Z!B109</f>
        <v>JKON</v>
      </c>
      <c r="C112" s="49"/>
      <c r="D112" s="43">
        <v>0</v>
      </c>
      <c r="E112" s="43">
        <v>354886780000</v>
      </c>
      <c r="F112" s="48">
        <f t="shared" si="5"/>
        <v>0</v>
      </c>
      <c r="G112" s="43">
        <f>64490583000-2298054000</f>
        <v>62192529000</v>
      </c>
      <c r="H112" s="43">
        <v>320148629000</v>
      </c>
      <c r="I112" s="48">
        <f t="shared" si="3"/>
        <v>0.19426142537065183</v>
      </c>
      <c r="J112" s="43">
        <v>75539765000</v>
      </c>
      <c r="K112" s="43">
        <v>258217922000</v>
      </c>
      <c r="L112" s="48">
        <f t="shared" si="4"/>
        <v>0.29254268803232025</v>
      </c>
      <c r="R112" s="40" t="s">
        <v>74</v>
      </c>
      <c r="S112" s="40">
        <v>0.14771900286979658</v>
      </c>
    </row>
    <row r="113" spans="2:19" x14ac:dyDescent="0.2">
      <c r="B113" s="48" t="str">
        <f>Z!B110</f>
        <v>KIJA</v>
      </c>
      <c r="C113" s="49"/>
      <c r="D113" s="43">
        <v>96496390056</v>
      </c>
      <c r="E113" s="43">
        <v>130079893294</v>
      </c>
      <c r="F113" s="48">
        <f t="shared" si="5"/>
        <v>0.74182402531576297</v>
      </c>
      <c r="G113" s="43">
        <v>83698680697</v>
      </c>
      <c r="H113" s="43">
        <v>85429279335</v>
      </c>
      <c r="I113" s="48">
        <f t="shared" si="3"/>
        <v>0.97974232427721086</v>
      </c>
      <c r="J113" s="43">
        <v>72444403757</v>
      </c>
      <c r="K113" s="43">
        <v>173273871156</v>
      </c>
      <c r="L113" s="48">
        <f t="shared" si="4"/>
        <v>0.41809191007095159</v>
      </c>
      <c r="R113" s="364" t="s">
        <v>74</v>
      </c>
      <c r="S113" s="40">
        <v>0.49696694063448854</v>
      </c>
    </row>
    <row r="114" spans="2:19" x14ac:dyDescent="0.2">
      <c r="B114" s="48" t="str">
        <f>Z!B111</f>
        <v>LPCK</v>
      </c>
      <c r="C114" s="49"/>
      <c r="D114" s="43">
        <v>129892000000</v>
      </c>
      <c r="E114" s="43">
        <v>380748000000</v>
      </c>
      <c r="F114" s="48">
        <f t="shared" si="5"/>
        <v>0.34114952672108584</v>
      </c>
      <c r="G114" s="43">
        <v>100444000000</v>
      </c>
      <c r="H114" s="43">
        <v>2054699000000</v>
      </c>
      <c r="I114" s="48">
        <f t="shared" si="3"/>
        <v>4.8885019168257736E-2</v>
      </c>
      <c r="J114" s="43">
        <v>58144000000</v>
      </c>
      <c r="K114" s="43">
        <v>422293000000</v>
      </c>
      <c r="L114" s="48">
        <f t="shared" si="4"/>
        <v>0.13768639309673616</v>
      </c>
      <c r="R114" s="365" t="s">
        <v>74</v>
      </c>
      <c r="S114" s="40">
        <v>1.1066001628083004</v>
      </c>
    </row>
    <row r="115" spans="2:19" x14ac:dyDescent="0.2">
      <c r="B115" s="48" t="str">
        <f>Z!B112</f>
        <v>LPKR</v>
      </c>
      <c r="C115" s="49"/>
      <c r="D115" s="43">
        <v>573721000000</v>
      </c>
      <c r="E115" s="43">
        <v>1167129000000</v>
      </c>
      <c r="F115" s="48">
        <f t="shared" si="5"/>
        <v>0.49156605653702373</v>
      </c>
      <c r="G115" s="43">
        <v>514770000000</v>
      </c>
      <c r="H115" s="43">
        <v>2060165000000</v>
      </c>
      <c r="I115" s="48">
        <f t="shared" si="3"/>
        <v>0.24986833578863829</v>
      </c>
      <c r="J115" s="43">
        <v>544353000000</v>
      </c>
      <c r="K115" s="43">
        <v>-2061418000000</v>
      </c>
      <c r="L115" s="48">
        <f t="shared" si="4"/>
        <v>-0.26406725855697388</v>
      </c>
      <c r="R115" s="45" t="s">
        <v>354</v>
      </c>
      <c r="S115" s="45">
        <v>0.12128797696093259</v>
      </c>
    </row>
    <row r="116" spans="2:19" x14ac:dyDescent="0.2">
      <c r="B116" s="48" t="str">
        <f>Z!B113</f>
        <v>MDLN</v>
      </c>
      <c r="C116" s="49"/>
      <c r="D116" s="43">
        <f>81577430601+46152708645</f>
        <v>127730139246</v>
      </c>
      <c r="E116" s="43">
        <v>676791362305</v>
      </c>
      <c r="F116" s="48">
        <f t="shared" si="5"/>
        <v>0.18872897374307454</v>
      </c>
      <c r="G116" s="43">
        <f>51773842807+61265723674</f>
        <v>113039566481</v>
      </c>
      <c r="H116" s="43">
        <v>78564470317</v>
      </c>
      <c r="I116" s="48">
        <f t="shared" si="3"/>
        <v>1.4388128122661088</v>
      </c>
      <c r="J116" s="43">
        <f>62511045447+55003196772</f>
        <v>117514242219</v>
      </c>
      <c r="K116" s="43">
        <v>468191417547</v>
      </c>
      <c r="L116" s="48">
        <f t="shared" si="4"/>
        <v>0.25099614776087426</v>
      </c>
      <c r="R116" s="359" t="s">
        <v>354</v>
      </c>
      <c r="S116" s="45">
        <v>0.38882754418543947</v>
      </c>
    </row>
    <row r="117" spans="2:19" x14ac:dyDescent="0.2">
      <c r="B117" s="48" t="str">
        <f>Z!B114</f>
        <v>PBSA</v>
      </c>
      <c r="C117" s="49"/>
      <c r="D117" s="43">
        <v>13088566591</v>
      </c>
      <c r="E117" s="43">
        <v>109668326141</v>
      </c>
      <c r="F117" s="48">
        <f t="shared" si="5"/>
        <v>0.11934682557452457</v>
      </c>
      <c r="G117" s="43">
        <v>7161985223</v>
      </c>
      <c r="H117" s="43">
        <v>51049302044</v>
      </c>
      <c r="I117" s="48">
        <f t="shared" si="3"/>
        <v>0.14029545823813613</v>
      </c>
      <c r="J117" s="43">
        <v>12449557130</v>
      </c>
      <c r="K117" s="43">
        <v>24243981658</v>
      </c>
      <c r="L117" s="48">
        <f t="shared" si="4"/>
        <v>0.51351124190823294</v>
      </c>
      <c r="R117" s="93" t="s">
        <v>354</v>
      </c>
      <c r="S117" s="45">
        <v>0.37874813871103358</v>
      </c>
    </row>
    <row r="118" spans="2:19" x14ac:dyDescent="0.2">
      <c r="B118" s="48" t="str">
        <f>Z!B115</f>
        <v>PWON</v>
      </c>
      <c r="C118" s="49"/>
      <c r="D118" s="43">
        <v>33087502000</v>
      </c>
      <c r="E118" s="43">
        <v>2071691771000</v>
      </c>
      <c r="F118" s="48">
        <f t="shared" si="5"/>
        <v>1.5971247491140417E-2</v>
      </c>
      <c r="G118" s="43">
        <f>28256058000-3294173000</f>
        <v>24961885000</v>
      </c>
      <c r="H118" s="43">
        <v>2853882334000</v>
      </c>
      <c r="I118" s="48">
        <f t="shared" si="3"/>
        <v>8.7466412691981719E-3</v>
      </c>
      <c r="J118" s="43">
        <v>26258433000</v>
      </c>
      <c r="K118" s="43">
        <v>3270697901000</v>
      </c>
      <c r="L118" s="48">
        <f t="shared" si="4"/>
        <v>8.0283883730049212E-3</v>
      </c>
      <c r="R118" s="45" t="s">
        <v>149</v>
      </c>
      <c r="S118" s="45">
        <v>0.23723019766341341</v>
      </c>
    </row>
    <row r="119" spans="2:19" x14ac:dyDescent="0.2">
      <c r="B119" s="48" t="str">
        <f>Z!B116</f>
        <v>ABMM</v>
      </c>
      <c r="C119" s="49"/>
      <c r="D119" s="43">
        <f>(26378546-14552032)*N8</f>
        <v>160225611672</v>
      </c>
      <c r="E119" s="43">
        <f>10853463*N8</f>
        <v>147042716724</v>
      </c>
      <c r="F119" s="48">
        <f t="shared" si="5"/>
        <v>1.0896535050610114</v>
      </c>
      <c r="G119" s="43">
        <f>(40234630-2892559)*O8</f>
        <v>541460029500</v>
      </c>
      <c r="H119" s="43">
        <f>93625688*N8</f>
        <v>1268440821024</v>
      </c>
      <c r="I119" s="48">
        <f t="shared" si="3"/>
        <v>0.42687054888606041</v>
      </c>
      <c r="J119" s="43">
        <f>(33018536-5361431)*P8</f>
        <v>387227127105</v>
      </c>
      <c r="K119" s="43">
        <f>19014640*P8</f>
        <v>266223974640</v>
      </c>
      <c r="L119" s="48">
        <f t="shared" si="4"/>
        <v>1.4545163621293908</v>
      </c>
      <c r="R119" s="359" t="s">
        <v>149</v>
      </c>
      <c r="S119" s="45">
        <v>0.38050114215675174</v>
      </c>
    </row>
    <row r="120" spans="2:19" x14ac:dyDescent="0.2">
      <c r="B120" s="48" t="str">
        <f>Z!B117</f>
        <v>AKRA</v>
      </c>
      <c r="C120" s="49"/>
      <c r="D120" s="43">
        <f>943192500000-359625890000</f>
        <v>583566610000</v>
      </c>
      <c r="E120" s="43">
        <v>1126408644000</v>
      </c>
      <c r="F120" s="48">
        <f t="shared" si="5"/>
        <v>0.51807717661655306</v>
      </c>
      <c r="G120" s="43">
        <f>633604204000+568369867000-645191245000</f>
        <v>556782826000</v>
      </c>
      <c r="H120" s="43">
        <v>868080622000</v>
      </c>
      <c r="I120" s="48">
        <f t="shared" si="3"/>
        <v>0.64139529427256359</v>
      </c>
      <c r="J120" s="43">
        <f>348823672000+783824247000-572934003000</f>
        <v>559713916000</v>
      </c>
      <c r="K120" s="43">
        <v>865379704000</v>
      </c>
      <c r="L120" s="48">
        <f t="shared" si="4"/>
        <v>0.64678419590020797</v>
      </c>
      <c r="R120" s="93" t="s">
        <v>149</v>
      </c>
      <c r="S120" s="45">
        <v>0.26521990279602792</v>
      </c>
    </row>
    <row r="121" spans="2:19" x14ac:dyDescent="0.2">
      <c r="B121" s="48" t="str">
        <f>Z!B118</f>
        <v>AMRT</v>
      </c>
      <c r="C121" s="49"/>
      <c r="D121" s="43">
        <v>195383000000</v>
      </c>
      <c r="E121" s="43">
        <v>381342000000</v>
      </c>
      <c r="F121" s="48">
        <f t="shared" si="5"/>
        <v>0.51235636253022221</v>
      </c>
      <c r="G121" s="43">
        <v>190103000000</v>
      </c>
      <c r="H121" s="43">
        <v>867131000000</v>
      </c>
      <c r="I121" s="48">
        <f t="shared" si="3"/>
        <v>0.21923215754021019</v>
      </c>
      <c r="J121" s="43">
        <v>240817000000</v>
      </c>
      <c r="K121" s="43">
        <v>1453898000000</v>
      </c>
      <c r="L121" s="48">
        <f t="shared" si="4"/>
        <v>0.16563541596453121</v>
      </c>
      <c r="R121" s="45" t="s">
        <v>433</v>
      </c>
      <c r="S121" s="45">
        <v>0.25770893183996219</v>
      </c>
    </row>
    <row r="122" spans="2:19" x14ac:dyDescent="0.2">
      <c r="B122" s="48" t="str">
        <f>Z!B119</f>
        <v>ATIC</v>
      </c>
      <c r="C122" s="49"/>
      <c r="D122" s="43">
        <v>54981301494</v>
      </c>
      <c r="E122" s="43">
        <v>114440768495</v>
      </c>
      <c r="F122" s="48">
        <f t="shared" si="5"/>
        <v>0.48043457080072099</v>
      </c>
      <c r="G122" s="43">
        <v>72490291238</v>
      </c>
      <c r="H122" s="43">
        <v>115368993610</v>
      </c>
      <c r="I122" s="48">
        <f t="shared" si="3"/>
        <v>0.62833426009635107</v>
      </c>
      <c r="J122" s="43">
        <v>90251797548</v>
      </c>
      <c r="K122" s="43">
        <v>112897379895</v>
      </c>
      <c r="L122" s="48">
        <f t="shared" si="4"/>
        <v>0.79941445613652429</v>
      </c>
      <c r="R122" s="359" t="s">
        <v>433</v>
      </c>
      <c r="S122" s="45">
        <v>0.28698015942718008</v>
      </c>
    </row>
    <row r="123" spans="2:19" x14ac:dyDescent="0.2">
      <c r="B123" s="48" t="str">
        <f>Z!B120</f>
        <v>BHIT</v>
      </c>
      <c r="C123" s="49"/>
      <c r="D123" s="43">
        <v>785532000000</v>
      </c>
      <c r="E123" s="43">
        <v>1205454000000</v>
      </c>
      <c r="F123" s="48">
        <f t="shared" si="5"/>
        <v>0.65164825866437048</v>
      </c>
      <c r="G123" s="43">
        <v>777639000000</v>
      </c>
      <c r="H123" s="43">
        <v>1522284000000</v>
      </c>
      <c r="I123" s="48">
        <f t="shared" si="3"/>
        <v>0.51083700544707822</v>
      </c>
      <c r="J123" s="43">
        <v>698491000000</v>
      </c>
      <c r="K123" s="43">
        <v>2713548000000</v>
      </c>
      <c r="L123" s="48">
        <f t="shared" si="4"/>
        <v>0.25740875046249412</v>
      </c>
      <c r="R123" s="93" t="s">
        <v>433</v>
      </c>
      <c r="S123" s="45">
        <v>0.27258036193756852</v>
      </c>
    </row>
    <row r="124" spans="2:19" x14ac:dyDescent="0.2">
      <c r="B124" s="48" t="str">
        <f>Z!B121</f>
        <v>BMSR</v>
      </c>
      <c r="C124" s="49"/>
      <c r="D124" s="43">
        <v>154299247</v>
      </c>
      <c r="E124" s="43">
        <v>-2947093405</v>
      </c>
      <c r="F124" s="48">
        <f t="shared" si="5"/>
        <v>-5.2356415557857083E-2</v>
      </c>
      <c r="G124" s="43">
        <v>527901097</v>
      </c>
      <c r="H124" s="43">
        <v>6227364095</v>
      </c>
      <c r="I124" s="48">
        <f t="shared" si="3"/>
        <v>8.4771195155243284E-2</v>
      </c>
      <c r="J124" s="43">
        <v>1120371105</v>
      </c>
      <c r="K124" s="43">
        <v>6298565272</v>
      </c>
      <c r="L124" s="48">
        <f t="shared" si="4"/>
        <v>0.17787719212509576</v>
      </c>
      <c r="R124" s="45" t="s">
        <v>635</v>
      </c>
      <c r="S124" s="45">
        <v>-0.21139896581048143</v>
      </c>
    </row>
    <row r="125" spans="2:19" x14ac:dyDescent="0.2">
      <c r="B125" s="48" t="str">
        <f>Z!B122</f>
        <v>BMTR</v>
      </c>
      <c r="C125" s="49"/>
      <c r="D125" s="43">
        <v>690791000000</v>
      </c>
      <c r="E125" s="43">
        <v>2026069000000</v>
      </c>
      <c r="F125" s="48">
        <f t="shared" si="5"/>
        <v>0.34095136937587023</v>
      </c>
      <c r="G125" s="43">
        <v>1570631000000</v>
      </c>
      <c r="H125" s="43">
        <v>1782744000000</v>
      </c>
      <c r="I125" s="48">
        <f t="shared" si="3"/>
        <v>0.88101881145021388</v>
      </c>
      <c r="J125" s="43">
        <v>1576989000000</v>
      </c>
      <c r="K125" s="43">
        <v>2907632000000</v>
      </c>
      <c r="L125" s="48">
        <f t="shared" si="4"/>
        <v>0.54236196327458219</v>
      </c>
      <c r="R125" s="359" t="s">
        <v>635</v>
      </c>
      <c r="S125" s="45">
        <v>7.9917255067464624E-3</v>
      </c>
    </row>
    <row r="126" spans="2:19" x14ac:dyDescent="0.2">
      <c r="B126" s="48" t="str">
        <f>Z!B123</f>
        <v>EMTK</v>
      </c>
      <c r="C126" s="49"/>
      <c r="D126" s="43">
        <v>565962824000</v>
      </c>
      <c r="E126" s="43">
        <v>868002157000</v>
      </c>
      <c r="F126" s="48">
        <f t="shared" si="5"/>
        <v>0.65202928291801465</v>
      </c>
      <c r="G126" s="43">
        <v>524124772000</v>
      </c>
      <c r="H126" s="43">
        <v>1937720507000</v>
      </c>
      <c r="I126" s="48">
        <f t="shared" si="3"/>
        <v>0.2704852274136561</v>
      </c>
      <c r="J126" s="43">
        <v>514963449000</v>
      </c>
      <c r="K126" s="43">
        <v>2071946851000</v>
      </c>
      <c r="L126" s="48">
        <f t="shared" si="4"/>
        <v>0.24854085844502197</v>
      </c>
      <c r="R126" s="93" t="s">
        <v>635</v>
      </c>
      <c r="S126" s="45">
        <v>-6.2326513486698494E-2</v>
      </c>
    </row>
    <row r="127" spans="2:19" x14ac:dyDescent="0.2">
      <c r="B127" s="48" t="str">
        <f>Z!B124</f>
        <v>ERAA</v>
      </c>
      <c r="C127" s="49"/>
      <c r="D127" s="43">
        <v>0</v>
      </c>
      <c r="E127" s="43">
        <v>479656198588</v>
      </c>
      <c r="F127" s="48">
        <f t="shared" si="5"/>
        <v>0</v>
      </c>
      <c r="G127" s="43">
        <v>567445788000</v>
      </c>
      <c r="H127" s="43">
        <v>1203140844000</v>
      </c>
      <c r="I127" s="48">
        <f t="shared" si="3"/>
        <v>0.47163704135706325</v>
      </c>
      <c r="J127" s="43">
        <v>216810666000</v>
      </c>
      <c r="K127" s="43">
        <v>472719996000</v>
      </c>
      <c r="L127" s="48">
        <f t="shared" si="4"/>
        <v>0.4586450072655695</v>
      </c>
      <c r="R127" s="45" t="s">
        <v>757</v>
      </c>
      <c r="S127" s="45">
        <v>0.65202928291801465</v>
      </c>
    </row>
    <row r="128" spans="2:19" x14ac:dyDescent="0.2">
      <c r="B128" s="48" t="str">
        <f>Z!B125</f>
        <v>HERO</v>
      </c>
      <c r="C128" s="49"/>
      <c r="D128" s="43">
        <v>87236000000</v>
      </c>
      <c r="E128" s="43">
        <v>-251647000000</v>
      </c>
      <c r="F128" s="48">
        <f t="shared" si="5"/>
        <v>-0.34666020258536762</v>
      </c>
      <c r="G128" s="43">
        <v>93242000000</v>
      </c>
      <c r="H128" s="43">
        <v>-1252995000000</v>
      </c>
      <c r="I128" s="48">
        <f t="shared" si="3"/>
        <v>-7.4415300938950268E-2</v>
      </c>
      <c r="J128" s="43">
        <v>51076000000</v>
      </c>
      <c r="K128" s="43">
        <v>55728000000</v>
      </c>
      <c r="L128" s="48">
        <f t="shared" si="4"/>
        <v>0.91652311225954641</v>
      </c>
      <c r="R128" s="359" t="s">
        <v>757</v>
      </c>
      <c r="S128" s="45">
        <v>0.2704852274136561</v>
      </c>
    </row>
    <row r="129" spans="2:19" x14ac:dyDescent="0.2">
      <c r="B129" s="48" t="str">
        <f>Z!B126</f>
        <v>HEXA</v>
      </c>
      <c r="C129" s="49"/>
      <c r="D129" s="43">
        <f>7543782*N8</f>
        <v>102203158536</v>
      </c>
      <c r="E129" s="43">
        <f>30627218*N8</f>
        <v>414937549464</v>
      </c>
      <c r="F129" s="48">
        <f t="shared" si="5"/>
        <v>0.24630973665319519</v>
      </c>
      <c r="G129" s="43">
        <f>11472006*O8</f>
        <v>166344087000</v>
      </c>
      <c r="H129" s="43">
        <f>50181143*O8</f>
        <v>727626573500</v>
      </c>
      <c r="I129" s="48">
        <f t="shared" si="3"/>
        <v>0.22861189112412206</v>
      </c>
      <c r="J129" s="43">
        <f>14669995*P8</f>
        <v>205394599995</v>
      </c>
      <c r="K129" s="43">
        <f>52258366*P8</f>
        <v>731669382366</v>
      </c>
      <c r="L129" s="48">
        <f t="shared" si="4"/>
        <v>0.28072050702848228</v>
      </c>
      <c r="R129" s="93" t="s">
        <v>757</v>
      </c>
      <c r="S129" s="45">
        <v>0.24854085844502197</v>
      </c>
    </row>
    <row r="130" spans="2:19" x14ac:dyDescent="0.2">
      <c r="B130" s="48" t="str">
        <f>Z!B127</f>
        <v>KREN</v>
      </c>
      <c r="C130" s="49"/>
      <c r="D130" s="43">
        <v>22033733483</v>
      </c>
      <c r="E130" s="43">
        <v>299470826080</v>
      </c>
      <c r="F130" s="48">
        <f t="shared" si="5"/>
        <v>7.3575559166868407E-2</v>
      </c>
      <c r="G130" s="43">
        <v>15105101817</v>
      </c>
      <c r="H130" s="43">
        <v>762884627938</v>
      </c>
      <c r="I130" s="48">
        <f t="shared" si="3"/>
        <v>1.9799981889565086E-2</v>
      </c>
      <c r="J130" s="43">
        <v>63994318535</v>
      </c>
      <c r="K130" s="43">
        <v>442487585654</v>
      </c>
      <c r="L130" s="48">
        <f t="shared" si="4"/>
        <v>0.14462398632136969</v>
      </c>
      <c r="R130" s="45" t="s">
        <v>760</v>
      </c>
      <c r="S130" s="45">
        <v>0</v>
      </c>
    </row>
    <row r="131" spans="2:19" x14ac:dyDescent="0.2">
      <c r="B131" s="48" t="str">
        <f>Z!B128</f>
        <v>LINK</v>
      </c>
      <c r="C131" s="49"/>
      <c r="D131" s="43">
        <v>351673000000</v>
      </c>
      <c r="E131" s="43">
        <v>1339421000000</v>
      </c>
      <c r="F131" s="48">
        <f t="shared" si="5"/>
        <v>0.26255598501143407</v>
      </c>
      <c r="G131" s="43">
        <v>374727000000</v>
      </c>
      <c r="H131" s="43">
        <v>1120496000000</v>
      </c>
      <c r="I131" s="48">
        <f t="shared" si="3"/>
        <v>0.33442957404577972</v>
      </c>
      <c r="J131" s="43">
        <v>326912000000</v>
      </c>
      <c r="K131" s="43">
        <v>1240307000000</v>
      </c>
      <c r="L131" s="48">
        <f t="shared" si="4"/>
        <v>0.26357345399163273</v>
      </c>
      <c r="R131" s="359" t="s">
        <v>760</v>
      </c>
      <c r="S131" s="45">
        <v>0.47163704135706325</v>
      </c>
    </row>
    <row r="132" spans="2:19" x14ac:dyDescent="0.2">
      <c r="B132" s="48" t="str">
        <f>Z!B129</f>
        <v>LTLS</v>
      </c>
      <c r="C132" s="49"/>
      <c r="D132" s="43">
        <v>58350000000</v>
      </c>
      <c r="E132" s="43">
        <v>254816000000</v>
      </c>
      <c r="F132" s="48">
        <f t="shared" si="5"/>
        <v>0.22898876051739295</v>
      </c>
      <c r="G132" s="43">
        <v>33202000000</v>
      </c>
      <c r="H132" s="43">
        <v>305450000000</v>
      </c>
      <c r="I132" s="48">
        <f t="shared" si="3"/>
        <v>0.10869864134882959</v>
      </c>
      <c r="J132" s="43">
        <v>1834000000</v>
      </c>
      <c r="K132" s="43">
        <v>302147000000</v>
      </c>
      <c r="L132" s="48">
        <f t="shared" si="4"/>
        <v>6.0698931314889775E-3</v>
      </c>
      <c r="R132" s="93" t="s">
        <v>760</v>
      </c>
      <c r="S132" s="45">
        <v>0.4586450072655695</v>
      </c>
    </row>
    <row r="133" spans="2:19" x14ac:dyDescent="0.2">
      <c r="B133" s="48" t="str">
        <f>Z!B130</f>
        <v>MAPI</v>
      </c>
      <c r="C133" s="49"/>
      <c r="D133" s="43">
        <f>485159623000-211001740000</f>
        <v>274157883000</v>
      </c>
      <c r="E133" s="43">
        <v>597451062000</v>
      </c>
      <c r="F133" s="48">
        <f t="shared" si="5"/>
        <v>0.45887922950917776</v>
      </c>
      <c r="G133" s="43">
        <f>554705000000-61814000000</f>
        <v>492891000000</v>
      </c>
      <c r="H133" s="43">
        <v>1173417000000</v>
      </c>
      <c r="I133" s="48">
        <f t="shared" si="3"/>
        <v>0.42004760456001577</v>
      </c>
      <c r="J133" s="43">
        <f>689186000000-253873000000</f>
        <v>435313000000</v>
      </c>
      <c r="K133" s="43">
        <v>1625502000000</v>
      </c>
      <c r="L133" s="48">
        <f t="shared" si="4"/>
        <v>0.26780219279951673</v>
      </c>
      <c r="R133" s="40" t="s">
        <v>256</v>
      </c>
      <c r="S133" s="40">
        <v>1.1826856145870059</v>
      </c>
    </row>
    <row r="134" spans="2:19" x14ac:dyDescent="0.2">
      <c r="B134" s="48" t="str">
        <f>Z!B131</f>
        <v>MNCN</v>
      </c>
      <c r="C134" s="49"/>
      <c r="D134" s="43">
        <v>674627000000</v>
      </c>
      <c r="E134" s="43">
        <v>2415650000000</v>
      </c>
      <c r="F134" s="48">
        <f t="shared" si="5"/>
        <v>0.27927348746714137</v>
      </c>
      <c r="G134" s="43">
        <v>1027072000000</v>
      </c>
      <c r="H134" s="43">
        <v>2103569000000</v>
      </c>
      <c r="I134" s="48">
        <f t="shared" si="3"/>
        <v>0.48825210867815605</v>
      </c>
      <c r="J134" s="43">
        <v>1088891000000</v>
      </c>
      <c r="K134" s="43">
        <v>2939118000000</v>
      </c>
      <c r="L134" s="48">
        <f t="shared" si="4"/>
        <v>0.37048223310530576</v>
      </c>
      <c r="R134" s="364" t="s">
        <v>256</v>
      </c>
      <c r="S134" s="40">
        <v>-1.5407116926128454E-2</v>
      </c>
    </row>
    <row r="135" spans="2:19" x14ac:dyDescent="0.2">
      <c r="B135" s="48" t="str">
        <f>Z!B132</f>
        <v>MPMX</v>
      </c>
      <c r="C135" s="49"/>
      <c r="D135" s="43">
        <v>136735000000</v>
      </c>
      <c r="E135" s="43">
        <v>481875000000</v>
      </c>
      <c r="F135" s="48">
        <f t="shared" si="5"/>
        <v>0.28375616083009081</v>
      </c>
      <c r="G135" s="43">
        <f>639583000000-88038000000</f>
        <v>551545000000</v>
      </c>
      <c r="H135" s="43">
        <v>225502000000</v>
      </c>
      <c r="I135" s="48">
        <f t="shared" si="3"/>
        <v>2.4458541387659531</v>
      </c>
      <c r="J135" s="43">
        <f>859074000000-31328000000</f>
        <v>827746000000</v>
      </c>
      <c r="K135" s="43">
        <v>685809000000</v>
      </c>
      <c r="L135" s="48">
        <f t="shared" si="4"/>
        <v>1.2069628715866954</v>
      </c>
      <c r="R135" s="365" t="s">
        <v>256</v>
      </c>
      <c r="S135" s="40">
        <v>4.1334059366306068E-2</v>
      </c>
    </row>
    <row r="136" spans="2:19" x14ac:dyDescent="0.2">
      <c r="B136" s="48" t="str">
        <f>Z!B133</f>
        <v>SCMA</v>
      </c>
      <c r="C136" s="49"/>
      <c r="D136" s="43">
        <f>534368527000-59571580000</f>
        <v>474796947000</v>
      </c>
      <c r="E136" s="43">
        <v>1782043501000</v>
      </c>
      <c r="F136" s="48">
        <f t="shared" si="5"/>
        <v>0.26643398252262979</v>
      </c>
      <c r="G136" s="43">
        <f>530537287000-25838910000</f>
        <v>504698377000</v>
      </c>
      <c r="H136" s="43">
        <v>1859188000000</v>
      </c>
      <c r="I136" s="48">
        <f t="shared" ref="I136:I143" si="6">G136/H136</f>
        <v>0.27146172253693546</v>
      </c>
      <c r="J136" s="43">
        <f>484394526000-2035596000</f>
        <v>482358930000</v>
      </c>
      <c r="K136" s="43">
        <v>1373065504000</v>
      </c>
      <c r="L136" s="48">
        <f t="shared" ref="L136:L143" si="7">J136/K136</f>
        <v>0.35130074173067272</v>
      </c>
      <c r="R136" s="40" t="s">
        <v>444</v>
      </c>
      <c r="S136" s="40">
        <v>0.10732774561501653</v>
      </c>
    </row>
    <row r="137" spans="2:19" x14ac:dyDescent="0.2">
      <c r="B137" s="48" t="str">
        <f>Z!B134</f>
        <v>SDPC</v>
      </c>
      <c r="C137" s="49"/>
      <c r="D137" s="43">
        <f>11424370820-1093752970</f>
        <v>10330617850</v>
      </c>
      <c r="E137" s="43">
        <v>20674313211</v>
      </c>
      <c r="F137" s="48">
        <f t="shared" ref="F137:F143" si="8">D137/E137</f>
        <v>0.49968372562448549</v>
      </c>
      <c r="G137" s="43">
        <f>12576212119-4161414329</f>
        <v>8414797790</v>
      </c>
      <c r="H137" s="43">
        <v>28590920205</v>
      </c>
      <c r="I137" s="48">
        <f t="shared" si="6"/>
        <v>0.29431713738714904</v>
      </c>
      <c r="J137" s="43">
        <v>15248840446</v>
      </c>
      <c r="K137" s="43">
        <v>11969483578</v>
      </c>
      <c r="L137" s="48">
        <f t="shared" si="7"/>
        <v>1.2739764708000838</v>
      </c>
      <c r="R137" s="364" t="s">
        <v>444</v>
      </c>
      <c r="S137" s="40">
        <v>0.11114569128088364</v>
      </c>
    </row>
    <row r="138" spans="2:19" x14ac:dyDescent="0.2">
      <c r="B138" s="48" t="str">
        <f>Z!B135</f>
        <v>SILO</v>
      </c>
      <c r="C138" s="49"/>
      <c r="D138" s="43">
        <v>89428000000</v>
      </c>
      <c r="E138" s="43">
        <v>200039000000</v>
      </c>
      <c r="F138" s="48">
        <f t="shared" si="8"/>
        <v>0.44705282469918367</v>
      </c>
      <c r="G138" s="43">
        <v>122576000000</v>
      </c>
      <c r="H138" s="43">
        <v>166156000000</v>
      </c>
      <c r="I138" s="48">
        <f t="shared" si="6"/>
        <v>0.73771636293603604</v>
      </c>
      <c r="J138" s="43">
        <v>177011000000</v>
      </c>
      <c r="K138" s="43">
        <v>-149536000000</v>
      </c>
      <c r="L138" s="48">
        <f t="shared" si="7"/>
        <v>-1.1837350203295527</v>
      </c>
      <c r="R138" s="365" t="s">
        <v>444</v>
      </c>
      <c r="S138" s="40">
        <v>0.43355712563547272</v>
      </c>
    </row>
    <row r="139" spans="2:19" x14ac:dyDescent="0.2">
      <c r="B139" s="48" t="str">
        <f>Z!B136</f>
        <v>SONA</v>
      </c>
      <c r="C139" s="49"/>
      <c r="D139" s="43">
        <v>0</v>
      </c>
      <c r="E139" s="43">
        <v>-29357848149</v>
      </c>
      <c r="F139" s="48">
        <f t="shared" si="8"/>
        <v>0</v>
      </c>
      <c r="G139" s="43">
        <f>42630125032+205833757</f>
        <v>42835958789</v>
      </c>
      <c r="H139" s="43">
        <v>162897913618</v>
      </c>
      <c r="I139" s="48">
        <f t="shared" si="6"/>
        <v>0.26296198543985944</v>
      </c>
      <c r="J139" s="43">
        <f>240295942+20563006150-8566959285</f>
        <v>12236342807</v>
      </c>
      <c r="K139" s="43">
        <v>104353775869</v>
      </c>
      <c r="L139" s="48">
        <f t="shared" si="7"/>
        <v>0.11725826598129839</v>
      </c>
      <c r="R139" s="45" t="s">
        <v>531</v>
      </c>
      <c r="S139" s="45">
        <v>-6.7176598440948965</v>
      </c>
    </row>
    <row r="140" spans="2:19" x14ac:dyDescent="0.2">
      <c r="B140" s="48" t="str">
        <f>Z!B137</f>
        <v>TRIO</v>
      </c>
      <c r="C140" s="49"/>
      <c r="D140" s="43">
        <v>5146887415</v>
      </c>
      <c r="E140" s="43">
        <v>-189940195572</v>
      </c>
      <c r="F140" s="48">
        <f t="shared" si="8"/>
        <v>-2.7097410316443454E-2</v>
      </c>
      <c r="G140" s="43">
        <v>44253438522</v>
      </c>
      <c r="H140" s="43">
        <v>-12273399044</v>
      </c>
      <c r="I140" s="48">
        <f t="shared" si="6"/>
        <v>-3.6056383698885623</v>
      </c>
      <c r="J140" s="43">
        <v>1173538</v>
      </c>
      <c r="K140" s="43">
        <v>-101986961830</v>
      </c>
      <c r="L140" s="48">
        <f t="shared" si="7"/>
        <v>-1.1506745361786016E-5</v>
      </c>
      <c r="R140" s="359" t="s">
        <v>531</v>
      </c>
      <c r="S140" s="45">
        <v>1.7011515829402324</v>
      </c>
    </row>
    <row r="141" spans="2:19" x14ac:dyDescent="0.2">
      <c r="B141" s="48" t="str">
        <f>Z!B138</f>
        <v>UNTR</v>
      </c>
      <c r="C141" s="49"/>
      <c r="D141" s="43">
        <f>2033517000000-209785000000-193633000000</f>
        <v>1630099000000</v>
      </c>
      <c r="E141" s="43">
        <v>10522657000000</v>
      </c>
      <c r="F141" s="48">
        <f t="shared" si="8"/>
        <v>0.15491325052218274</v>
      </c>
      <c r="G141" s="43">
        <f>3877972000000-504979000000-119967000000</f>
        <v>3253026000000</v>
      </c>
      <c r="H141" s="43">
        <v>15708719000000</v>
      </c>
      <c r="I141" s="48">
        <f t="shared" si="6"/>
        <v>0.2070841040571163</v>
      </c>
      <c r="J141" s="43">
        <f>6842083000000-692518000000-7888000000</f>
        <v>6141677000000</v>
      </c>
      <c r="K141" s="43">
        <v>15476885000000</v>
      </c>
      <c r="L141" s="48">
        <f t="shared" si="7"/>
        <v>0.39682901307336715</v>
      </c>
      <c r="R141" s="93" t="s">
        <v>531</v>
      </c>
      <c r="S141" s="45">
        <v>787.67124542124543</v>
      </c>
    </row>
    <row r="142" spans="2:19" x14ac:dyDescent="0.2">
      <c r="B142" s="48">
        <f>Z!B139</f>
        <v>0</v>
      </c>
      <c r="C142" s="49"/>
      <c r="D142" s="43"/>
      <c r="E142" s="43"/>
      <c r="F142" s="48" t="e">
        <f t="shared" si="8"/>
        <v>#DIV/0!</v>
      </c>
      <c r="G142" s="43"/>
      <c r="H142" s="43"/>
      <c r="I142" s="48" t="e">
        <f t="shared" si="6"/>
        <v>#DIV/0!</v>
      </c>
      <c r="J142" s="43"/>
      <c r="K142" s="43"/>
      <c r="L142" s="48" t="e">
        <f t="shared" si="7"/>
        <v>#DIV/0!</v>
      </c>
      <c r="R142" s="45" t="s">
        <v>362</v>
      </c>
      <c r="S142" s="45">
        <v>0.10727204934437169</v>
      </c>
    </row>
    <row r="143" spans="2:19" x14ac:dyDescent="0.2">
      <c r="B143" s="48">
        <f>Z!B140</f>
        <v>0</v>
      </c>
      <c r="C143" s="49"/>
      <c r="D143" s="43"/>
      <c r="E143" s="43"/>
      <c r="F143" s="48" t="e">
        <f t="shared" si="8"/>
        <v>#DIV/0!</v>
      </c>
      <c r="G143" s="43"/>
      <c r="H143" s="43"/>
      <c r="I143" s="48" t="e">
        <f t="shared" si="6"/>
        <v>#DIV/0!</v>
      </c>
      <c r="J143" s="43"/>
      <c r="K143" s="43"/>
      <c r="L143" s="48" t="e">
        <f t="shared" si="7"/>
        <v>#DIV/0!</v>
      </c>
      <c r="R143" s="359" t="s">
        <v>362</v>
      </c>
      <c r="S143" s="45">
        <v>0.51897568644239489</v>
      </c>
    </row>
    <row r="144" spans="2:19" x14ac:dyDescent="0.2">
      <c r="R144" s="93" t="s">
        <v>362</v>
      </c>
      <c r="S144" s="45">
        <v>0.41770904938469194</v>
      </c>
    </row>
    <row r="145" spans="18:19" x14ac:dyDescent="0.2">
      <c r="R145" s="45" t="s">
        <v>154</v>
      </c>
      <c r="S145" s="45">
        <v>0.25285267721629601</v>
      </c>
    </row>
    <row r="146" spans="18:19" x14ac:dyDescent="0.2">
      <c r="R146" s="359" t="s">
        <v>154</v>
      </c>
      <c r="S146" s="45">
        <v>0.27649862461426122</v>
      </c>
    </row>
    <row r="147" spans="18:19" x14ac:dyDescent="0.2">
      <c r="R147" s="93" t="s">
        <v>154</v>
      </c>
      <c r="S147" s="45">
        <v>0.22119674185117674</v>
      </c>
    </row>
    <row r="148" spans="18:19" x14ac:dyDescent="0.2">
      <c r="R148" s="45" t="s">
        <v>264</v>
      </c>
      <c r="S148" s="45">
        <v>-0.16397117556177246</v>
      </c>
    </row>
    <row r="149" spans="18:19" x14ac:dyDescent="0.2">
      <c r="R149" s="359" t="s">
        <v>264</v>
      </c>
      <c r="S149" s="45">
        <v>-0.77847379462928989</v>
      </c>
    </row>
    <row r="150" spans="18:19" x14ac:dyDescent="0.2">
      <c r="R150" s="93" t="s">
        <v>264</v>
      </c>
      <c r="S150" s="45">
        <v>5.1399956827759156E-2</v>
      </c>
    </row>
    <row r="151" spans="18:19" x14ac:dyDescent="0.2">
      <c r="R151" s="45" t="s">
        <v>536</v>
      </c>
      <c r="S151" s="45">
        <v>0.5902699767842432</v>
      </c>
    </row>
    <row r="152" spans="18:19" x14ac:dyDescent="0.2">
      <c r="R152" s="359" t="s">
        <v>536</v>
      </c>
      <c r="S152" s="45">
        <v>-1.6185312846877373</v>
      </c>
    </row>
    <row r="153" spans="18:19" x14ac:dyDescent="0.2">
      <c r="R153" s="93" t="s">
        <v>536</v>
      </c>
      <c r="S153" s="45">
        <v>0.11928338676847007</v>
      </c>
    </row>
    <row r="154" spans="18:19" x14ac:dyDescent="0.2">
      <c r="R154" s="40" t="s">
        <v>540</v>
      </c>
      <c r="S154" s="40">
        <v>0.2477777453213133</v>
      </c>
    </row>
    <row r="155" spans="18:19" x14ac:dyDescent="0.2">
      <c r="R155" s="364" t="s">
        <v>540</v>
      </c>
      <c r="S155" s="40">
        <v>0.694380794371252</v>
      </c>
    </row>
    <row r="156" spans="18:19" x14ac:dyDescent="0.2">
      <c r="R156" s="365" t="s">
        <v>540</v>
      </c>
      <c r="S156" s="40">
        <v>-2.8060184996158286</v>
      </c>
    </row>
    <row r="157" spans="18:19" x14ac:dyDescent="0.2">
      <c r="R157" s="45" t="s">
        <v>542</v>
      </c>
      <c r="S157" s="45">
        <v>0</v>
      </c>
    </row>
    <row r="158" spans="18:19" x14ac:dyDescent="0.2">
      <c r="R158" s="359" t="s">
        <v>542</v>
      </c>
      <c r="S158" s="45">
        <v>0</v>
      </c>
    </row>
    <row r="159" spans="18:19" x14ac:dyDescent="0.2">
      <c r="R159" s="93" t="s">
        <v>542</v>
      </c>
      <c r="S159" s="45">
        <v>0</v>
      </c>
    </row>
    <row r="160" spans="18:19" x14ac:dyDescent="0.2">
      <c r="R160" s="40" t="s">
        <v>770</v>
      </c>
      <c r="S160" s="40">
        <v>-0.34666020258536762</v>
      </c>
    </row>
    <row r="161" spans="18:19" x14ac:dyDescent="0.2">
      <c r="R161" s="364" t="s">
        <v>770</v>
      </c>
      <c r="S161" s="40">
        <v>-7.4415300938950268E-2</v>
      </c>
    </row>
    <row r="162" spans="18:19" x14ac:dyDescent="0.2">
      <c r="R162" s="365" t="s">
        <v>770</v>
      </c>
      <c r="S162" s="40">
        <v>0.91652311225954641</v>
      </c>
    </row>
    <row r="163" spans="18:19" x14ac:dyDescent="0.2">
      <c r="R163" s="45" t="s">
        <v>774</v>
      </c>
      <c r="S163" s="45">
        <v>0.24630973665319519</v>
      </c>
    </row>
    <row r="164" spans="18:19" x14ac:dyDescent="0.2">
      <c r="R164" s="359" t="s">
        <v>774</v>
      </c>
      <c r="S164" s="45">
        <v>0.22861189112412206</v>
      </c>
    </row>
    <row r="165" spans="18:19" x14ac:dyDescent="0.2">
      <c r="R165" s="93" t="s">
        <v>774</v>
      </c>
      <c r="S165" s="45">
        <v>0.28072050702848228</v>
      </c>
    </row>
    <row r="166" spans="18:19" x14ac:dyDescent="0.2">
      <c r="R166" s="45" t="s">
        <v>266</v>
      </c>
      <c r="S166" s="45">
        <v>0.14315546381267139</v>
      </c>
    </row>
    <row r="167" spans="18:19" x14ac:dyDescent="0.2">
      <c r="R167" s="359" t="s">
        <v>266</v>
      </c>
      <c r="S167" s="45">
        <v>0.1162788945502269</v>
      </c>
    </row>
    <row r="168" spans="18:19" x14ac:dyDescent="0.2">
      <c r="R168" s="93" t="s">
        <v>266</v>
      </c>
      <c r="S168" s="45">
        <v>0.14552400305222393</v>
      </c>
    </row>
    <row r="169" spans="18:19" x14ac:dyDescent="0.2">
      <c r="R169" s="40" t="s">
        <v>158</v>
      </c>
      <c r="S169" s="40">
        <v>0.25676198945403694</v>
      </c>
    </row>
    <row r="170" spans="18:19" x14ac:dyDescent="0.2">
      <c r="R170" s="364" t="s">
        <v>158</v>
      </c>
      <c r="S170" s="40">
        <v>0.24566738575097338</v>
      </c>
    </row>
    <row r="171" spans="18:19" x14ac:dyDescent="0.2">
      <c r="R171" s="365" t="s">
        <v>158</v>
      </c>
      <c r="S171" s="40">
        <v>0.25360828762223209</v>
      </c>
    </row>
    <row r="172" spans="18:19" x14ac:dyDescent="0.2">
      <c r="R172" s="45" t="s">
        <v>167</v>
      </c>
      <c r="S172" s="45">
        <v>0.35769925676468595</v>
      </c>
    </row>
    <row r="173" spans="18:19" x14ac:dyDescent="0.2">
      <c r="R173" s="359" t="s">
        <v>167</v>
      </c>
      <c r="S173" s="45">
        <v>0.31108917080374171</v>
      </c>
    </row>
    <row r="174" spans="18:19" x14ac:dyDescent="0.2">
      <c r="R174" s="93" t="s">
        <v>167</v>
      </c>
      <c r="S174" s="45">
        <v>0.2183660069158366</v>
      </c>
    </row>
    <row r="175" spans="18:19" x14ac:dyDescent="0.2">
      <c r="R175" s="45" t="s">
        <v>546</v>
      </c>
      <c r="S175" s="45">
        <v>3.8295818972966713</v>
      </c>
    </row>
    <row r="176" spans="18:19" x14ac:dyDescent="0.2">
      <c r="R176" s="359" t="s">
        <v>546</v>
      </c>
      <c r="S176" s="45">
        <v>4.8373472820490466</v>
      </c>
    </row>
    <row r="177" spans="18:19" x14ac:dyDescent="0.2">
      <c r="R177" s="93" t="s">
        <v>546</v>
      </c>
      <c r="S177" s="45">
        <v>1.514317865620904</v>
      </c>
    </row>
    <row r="178" spans="18:19" x14ac:dyDescent="0.2">
      <c r="R178" s="40" t="s">
        <v>366</v>
      </c>
      <c r="S178" s="40">
        <v>-0.65013032145960037</v>
      </c>
    </row>
    <row r="179" spans="18:19" x14ac:dyDescent="0.2">
      <c r="R179" s="364" t="s">
        <v>366</v>
      </c>
      <c r="S179" s="40">
        <v>0.4399578779185882</v>
      </c>
    </row>
    <row r="180" spans="18:19" x14ac:dyDescent="0.2">
      <c r="R180" s="365" t="s">
        <v>366</v>
      </c>
      <c r="S180" s="40">
        <v>0.79222760725183994</v>
      </c>
    </row>
    <row r="181" spans="18:19" x14ac:dyDescent="0.2">
      <c r="R181" s="45" t="s">
        <v>176</v>
      </c>
      <c r="S181" s="45">
        <v>0.44692496782029612</v>
      </c>
    </row>
    <row r="182" spans="18:19" x14ac:dyDescent="0.2">
      <c r="R182" s="359" t="s">
        <v>176</v>
      </c>
      <c r="S182" s="45">
        <v>0.46474940264263326</v>
      </c>
    </row>
    <row r="183" spans="18:19" x14ac:dyDescent="0.2">
      <c r="R183" s="93" t="s">
        <v>176</v>
      </c>
      <c r="S183" s="45">
        <v>0.26992397304637106</v>
      </c>
    </row>
    <row r="184" spans="18:19" x14ac:dyDescent="0.2">
      <c r="R184" s="40" t="s">
        <v>549</v>
      </c>
      <c r="S184" s="40">
        <v>0.7270034794078567</v>
      </c>
    </row>
    <row r="185" spans="18:19" x14ac:dyDescent="0.2">
      <c r="R185" s="364" t="s">
        <v>549</v>
      </c>
      <c r="S185" s="40">
        <v>1.3305539398509538E-2</v>
      </c>
    </row>
    <row r="186" spans="18:19" x14ac:dyDescent="0.2">
      <c r="R186" s="365" t="s">
        <v>549</v>
      </c>
      <c r="S186" s="40">
        <v>2.3315192737381685E-2</v>
      </c>
    </row>
    <row r="187" spans="18:19" x14ac:dyDescent="0.2">
      <c r="R187" s="45" t="s">
        <v>368</v>
      </c>
      <c r="S187" s="45">
        <v>0.16347661118884863</v>
      </c>
    </row>
    <row r="188" spans="18:19" x14ac:dyDescent="0.2">
      <c r="R188" s="359" t="s">
        <v>368</v>
      </c>
      <c r="S188" s="45">
        <v>1.0283106511572071</v>
      </c>
    </row>
    <row r="189" spans="18:19" x14ac:dyDescent="0.2">
      <c r="R189" s="93" t="s">
        <v>368</v>
      </c>
      <c r="S189" s="45">
        <v>4.2639521649506174</v>
      </c>
    </row>
    <row r="190" spans="18:19" x14ac:dyDescent="0.2">
      <c r="R190" s="45" t="s">
        <v>451</v>
      </c>
      <c r="S190" s="45">
        <v>0</v>
      </c>
    </row>
    <row r="191" spans="18:19" x14ac:dyDescent="0.2">
      <c r="R191" s="359" t="s">
        <v>451</v>
      </c>
      <c r="S191" s="45">
        <v>5.1894992218877209E-2</v>
      </c>
    </row>
    <row r="192" spans="18:19" x14ac:dyDescent="0.2">
      <c r="R192" s="93" t="s">
        <v>451</v>
      </c>
      <c r="S192" s="45">
        <v>0.39092026328421675</v>
      </c>
    </row>
    <row r="193" spans="18:19" x14ac:dyDescent="0.2">
      <c r="R193" s="45" t="s">
        <v>455</v>
      </c>
      <c r="S193" s="45">
        <v>0.12002986028341919</v>
      </c>
    </row>
    <row r="194" spans="18:19" x14ac:dyDescent="0.2">
      <c r="R194" s="359" t="s">
        <v>455</v>
      </c>
      <c r="S194" s="45">
        <v>0.11930994801623618</v>
      </c>
    </row>
    <row r="195" spans="18:19" x14ac:dyDescent="0.2">
      <c r="R195" s="93" t="s">
        <v>455</v>
      </c>
      <c r="S195" s="45">
        <v>3.3454763492528905E-2</v>
      </c>
    </row>
    <row r="196" spans="18:19" x14ac:dyDescent="0.2">
      <c r="R196" s="40" t="s">
        <v>459</v>
      </c>
      <c r="S196" s="40">
        <v>0</v>
      </c>
    </row>
    <row r="197" spans="18:19" x14ac:dyDescent="0.2">
      <c r="R197" s="364" t="s">
        <v>459</v>
      </c>
      <c r="S197" s="40">
        <v>0.51987927280915236</v>
      </c>
    </row>
    <row r="198" spans="18:19" x14ac:dyDescent="0.2">
      <c r="R198" s="365" t="s">
        <v>459</v>
      </c>
      <c r="S198" s="40">
        <v>0.20089709717754717</v>
      </c>
    </row>
    <row r="199" spans="18:19" x14ac:dyDescent="0.2">
      <c r="R199" s="40" t="s">
        <v>276</v>
      </c>
      <c r="S199" s="40">
        <v>0.48245333756608083</v>
      </c>
    </row>
    <row r="200" spans="18:19" x14ac:dyDescent="0.2">
      <c r="R200" s="364" t="s">
        <v>276</v>
      </c>
      <c r="S200" s="40">
        <v>-0.25435369355779125</v>
      </c>
    </row>
    <row r="201" spans="18:19" x14ac:dyDescent="0.2">
      <c r="R201" s="365" t="s">
        <v>276</v>
      </c>
      <c r="S201" s="40">
        <v>0.26217512574101037</v>
      </c>
    </row>
    <row r="202" spans="18:19" x14ac:dyDescent="0.2">
      <c r="R202" s="45" t="s">
        <v>372</v>
      </c>
      <c r="S202" s="45">
        <v>0.16460206322243859</v>
      </c>
    </row>
    <row r="203" spans="18:19" x14ac:dyDescent="0.2">
      <c r="R203" s="359" t="s">
        <v>372</v>
      </c>
      <c r="S203" s="45">
        <v>0.29740882995837903</v>
      </c>
    </row>
    <row r="204" spans="18:19" x14ac:dyDescent="0.2">
      <c r="R204" s="93" t="s">
        <v>372</v>
      </c>
      <c r="S204" s="45">
        <v>0.57409499220052718</v>
      </c>
    </row>
    <row r="205" spans="18:19" x14ac:dyDescent="0.2">
      <c r="R205" s="45" t="s">
        <v>465</v>
      </c>
      <c r="S205" s="45">
        <v>0.38772775976031187</v>
      </c>
    </row>
    <row r="206" spans="18:19" x14ac:dyDescent="0.2">
      <c r="R206" s="359" t="s">
        <v>465</v>
      </c>
      <c r="S206" s="45">
        <v>2.273177301655413E-2</v>
      </c>
    </row>
    <row r="207" spans="18:19" x14ac:dyDescent="0.2">
      <c r="R207" s="93" t="s">
        <v>465</v>
      </c>
      <c r="S207" s="45">
        <v>3.2992610395339614E-2</v>
      </c>
    </row>
    <row r="208" spans="18:19" x14ac:dyDescent="0.2">
      <c r="R208" s="45" t="s">
        <v>649</v>
      </c>
      <c r="S208" s="45">
        <v>0</v>
      </c>
    </row>
    <row r="209" spans="18:19" x14ac:dyDescent="0.2">
      <c r="R209" s="359" t="s">
        <v>649</v>
      </c>
      <c r="S209" s="45">
        <v>0.19426142537065183</v>
      </c>
    </row>
    <row r="210" spans="18:19" x14ac:dyDescent="0.2">
      <c r="R210" s="93" t="s">
        <v>649</v>
      </c>
      <c r="S210" s="45">
        <v>0.29254268803232025</v>
      </c>
    </row>
    <row r="211" spans="18:19" x14ac:dyDescent="0.2">
      <c r="R211" s="45" t="s">
        <v>557</v>
      </c>
      <c r="S211" s="45">
        <v>0.23188619477728337</v>
      </c>
    </row>
    <row r="212" spans="18:19" x14ac:dyDescent="0.2">
      <c r="R212" s="359" t="s">
        <v>557</v>
      </c>
      <c r="S212" s="45">
        <v>0.1608330470988065</v>
      </c>
    </row>
    <row r="213" spans="18:19" x14ac:dyDescent="0.2">
      <c r="R213" s="93" t="s">
        <v>557</v>
      </c>
      <c r="S213" s="45">
        <v>0.17093818574834263</v>
      </c>
    </row>
    <row r="214" spans="18:19" x14ac:dyDescent="0.2">
      <c r="R214" s="40" t="s">
        <v>181</v>
      </c>
      <c r="S214" s="40">
        <v>0.11667046781365396</v>
      </c>
    </row>
    <row r="215" spans="18:19" x14ac:dyDescent="0.2">
      <c r="R215" s="364" t="s">
        <v>181</v>
      </c>
      <c r="S215" s="40">
        <v>-0.89445711721316457</v>
      </c>
    </row>
    <row r="216" spans="18:19" x14ac:dyDescent="0.2">
      <c r="R216" s="365" t="s">
        <v>181</v>
      </c>
      <c r="S216" s="40">
        <v>-0.11284190658489439</v>
      </c>
    </row>
    <row r="217" spans="18:19" x14ac:dyDescent="0.2">
      <c r="R217" s="40" t="s">
        <v>657</v>
      </c>
      <c r="S217" s="40">
        <v>0.74182402531576297</v>
      </c>
    </row>
    <row r="218" spans="18:19" x14ac:dyDescent="0.2">
      <c r="R218" s="364" t="s">
        <v>657</v>
      </c>
      <c r="S218" s="40">
        <v>0.97974232427721086</v>
      </c>
    </row>
    <row r="219" spans="18:19" x14ac:dyDescent="0.2">
      <c r="R219" s="365" t="s">
        <v>657</v>
      </c>
      <c r="S219" s="40">
        <v>0.41809191007095159</v>
      </c>
    </row>
    <row r="220" spans="18:19" x14ac:dyDescent="0.2">
      <c r="R220" s="40" t="s">
        <v>190</v>
      </c>
      <c r="S220" s="40">
        <v>0.38621542298714434</v>
      </c>
    </row>
    <row r="221" spans="18:19" x14ac:dyDescent="0.2">
      <c r="R221" s="364" t="s">
        <v>190</v>
      </c>
      <c r="S221" s="40">
        <v>0.17245671367662793</v>
      </c>
    </row>
    <row r="222" spans="18:19" x14ac:dyDescent="0.2">
      <c r="R222" s="365" t="s">
        <v>190</v>
      </c>
      <c r="S222" s="40">
        <v>0.17104428140252526</v>
      </c>
    </row>
    <row r="223" spans="18:19" x14ac:dyDescent="0.2">
      <c r="R223" s="45" t="s">
        <v>184</v>
      </c>
      <c r="S223" s="45">
        <v>0.24136730361301958</v>
      </c>
    </row>
    <row r="224" spans="18:19" x14ac:dyDescent="0.2">
      <c r="R224" s="359" t="s">
        <v>184</v>
      </c>
      <c r="S224" s="45">
        <v>0.25348018921322873</v>
      </c>
    </row>
    <row r="225" spans="18:19" x14ac:dyDescent="0.2">
      <c r="R225" s="93" t="s">
        <v>184</v>
      </c>
      <c r="S225" s="45">
        <v>0.24672465977453115</v>
      </c>
    </row>
    <row r="226" spans="18:19" x14ac:dyDescent="0.2">
      <c r="R226" s="45" t="s">
        <v>786</v>
      </c>
      <c r="S226" s="45">
        <v>7.3575559166868407E-2</v>
      </c>
    </row>
    <row r="227" spans="18:19" x14ac:dyDescent="0.2">
      <c r="R227" s="359" t="s">
        <v>786</v>
      </c>
      <c r="S227" s="45">
        <v>1.9799981889565086E-2</v>
      </c>
    </row>
    <row r="228" spans="18:19" x14ac:dyDescent="0.2">
      <c r="R228" s="93" t="s">
        <v>786</v>
      </c>
      <c r="S228" s="45">
        <v>0.14462398632136969</v>
      </c>
    </row>
    <row r="229" spans="18:19" x14ac:dyDescent="0.2">
      <c r="R229" s="40" t="s">
        <v>789</v>
      </c>
      <c r="S229" s="40">
        <v>0.26255598501143407</v>
      </c>
    </row>
    <row r="230" spans="18:19" x14ac:dyDescent="0.2">
      <c r="R230" s="364" t="s">
        <v>789</v>
      </c>
      <c r="S230" s="40">
        <v>0.33442957404577972</v>
      </c>
    </row>
    <row r="231" spans="18:19" x14ac:dyDescent="0.2">
      <c r="R231" s="365" t="s">
        <v>789</v>
      </c>
      <c r="S231" s="40">
        <v>0.26357345399163273</v>
      </c>
    </row>
    <row r="232" spans="18:19" x14ac:dyDescent="0.2">
      <c r="R232" s="45" t="s">
        <v>471</v>
      </c>
      <c r="S232" s="45">
        <v>0.61610822539813359</v>
      </c>
    </row>
    <row r="233" spans="18:19" x14ac:dyDescent="0.2">
      <c r="R233" s="359" t="s">
        <v>471</v>
      </c>
      <c r="S233" s="45">
        <v>0.33376892853208889</v>
      </c>
    </row>
    <row r="234" spans="18:19" x14ac:dyDescent="0.2">
      <c r="R234" s="93" t="s">
        <v>471</v>
      </c>
      <c r="S234" s="45">
        <v>1.2375502485383734</v>
      </c>
    </row>
    <row r="235" spans="18:19" x14ac:dyDescent="0.2">
      <c r="R235" s="45" t="s">
        <v>662</v>
      </c>
      <c r="S235" s="45">
        <v>0.34114952672108584</v>
      </c>
    </row>
    <row r="236" spans="18:19" x14ac:dyDescent="0.2">
      <c r="R236" s="359" t="s">
        <v>662</v>
      </c>
      <c r="S236" s="45">
        <v>4.8885019168257736E-2</v>
      </c>
    </row>
    <row r="237" spans="18:19" x14ac:dyDescent="0.2">
      <c r="R237" s="93" t="s">
        <v>662</v>
      </c>
      <c r="S237" s="45">
        <v>0.13768639309673616</v>
      </c>
    </row>
    <row r="238" spans="18:19" x14ac:dyDescent="0.2">
      <c r="R238" s="45" t="s">
        <v>665</v>
      </c>
      <c r="S238" s="45">
        <v>0.49156605653702373</v>
      </c>
    </row>
    <row r="239" spans="18:19" x14ac:dyDescent="0.2">
      <c r="R239" s="359" t="s">
        <v>665</v>
      </c>
      <c r="S239" s="45">
        <v>0.24986833578863829</v>
      </c>
    </row>
    <row r="240" spans="18:19" x14ac:dyDescent="0.2">
      <c r="R240" s="93" t="s">
        <v>665</v>
      </c>
      <c r="S240" s="45">
        <v>-0.26406725855697388</v>
      </c>
    </row>
    <row r="241" spans="18:19" x14ac:dyDescent="0.2">
      <c r="R241" s="45" t="s">
        <v>106</v>
      </c>
      <c r="S241" s="45">
        <v>0.26850659288675816</v>
      </c>
    </row>
    <row r="242" spans="18:19" x14ac:dyDescent="0.2">
      <c r="R242" s="359" t="s">
        <v>106</v>
      </c>
      <c r="S242" s="45">
        <v>0.48692009629494643</v>
      </c>
    </row>
    <row r="243" spans="18:19" x14ac:dyDescent="0.2">
      <c r="R243" s="93" t="s">
        <v>106</v>
      </c>
      <c r="S243" s="45">
        <v>0.13413731810411547</v>
      </c>
    </row>
    <row r="244" spans="18:19" x14ac:dyDescent="0.2">
      <c r="R244" s="45" t="s">
        <v>794</v>
      </c>
      <c r="S244" s="45">
        <v>0.22898876051739295</v>
      </c>
    </row>
    <row r="245" spans="18:19" x14ac:dyDescent="0.2">
      <c r="R245" s="359" t="s">
        <v>794</v>
      </c>
      <c r="S245" s="45">
        <v>0.10869864134882959</v>
      </c>
    </row>
    <row r="246" spans="18:19" x14ac:dyDescent="0.2">
      <c r="R246" s="93" t="s">
        <v>794</v>
      </c>
      <c r="S246" s="45">
        <v>6.0698931314889775E-3</v>
      </c>
    </row>
    <row r="247" spans="18:19" x14ac:dyDescent="0.2">
      <c r="R247" s="40" t="s">
        <v>475</v>
      </c>
      <c r="S247" s="40">
        <v>0</v>
      </c>
    </row>
    <row r="248" spans="18:19" x14ac:dyDescent="0.2">
      <c r="R248" s="364" t="s">
        <v>475</v>
      </c>
      <c r="S248" s="40">
        <v>0.14900559742361533</v>
      </c>
    </row>
    <row r="249" spans="18:19" x14ac:dyDescent="0.2">
      <c r="R249" s="365" t="s">
        <v>475</v>
      </c>
      <c r="S249" s="40">
        <v>0.68968387089409122</v>
      </c>
    </row>
    <row r="250" spans="18:19" x14ac:dyDescent="0.2">
      <c r="R250" s="45" t="s">
        <v>800</v>
      </c>
      <c r="S250" s="45">
        <v>0.45887922950917776</v>
      </c>
    </row>
    <row r="251" spans="18:19" x14ac:dyDescent="0.2">
      <c r="R251" s="359" t="s">
        <v>800</v>
      </c>
      <c r="S251" s="45">
        <v>0.42004760456001577</v>
      </c>
    </row>
    <row r="252" spans="18:19" x14ac:dyDescent="0.2">
      <c r="R252" s="93" t="s">
        <v>800</v>
      </c>
      <c r="S252" s="45">
        <v>0.26780219279951673</v>
      </c>
    </row>
    <row r="253" spans="18:19" x14ac:dyDescent="0.2">
      <c r="R253" s="45" t="s">
        <v>479</v>
      </c>
      <c r="S253" s="45">
        <v>0.20028600293658727</v>
      </c>
    </row>
    <row r="254" spans="18:19" x14ac:dyDescent="0.2">
      <c r="R254" s="359" t="s">
        <v>479</v>
      </c>
      <c r="S254" s="45">
        <v>0.30834139829993951</v>
      </c>
    </row>
    <row r="255" spans="18:19" x14ac:dyDescent="0.2">
      <c r="R255" s="93" t="s">
        <v>479</v>
      </c>
      <c r="S255" s="45">
        <v>0.34673951085115823</v>
      </c>
    </row>
    <row r="256" spans="18:19" x14ac:dyDescent="0.2">
      <c r="R256" s="45" t="s">
        <v>562</v>
      </c>
      <c r="S256" s="45">
        <v>-3.1095810365233408E-2</v>
      </c>
    </row>
    <row r="257" spans="18:19" x14ac:dyDescent="0.2">
      <c r="R257" s="359" t="s">
        <v>562</v>
      </c>
      <c r="S257" s="45">
        <v>-4.9273035571541649E-3</v>
      </c>
    </row>
    <row r="258" spans="18:19" x14ac:dyDescent="0.2">
      <c r="R258" s="93" t="s">
        <v>562</v>
      </c>
      <c r="S258" s="45">
        <v>6.7095772705548923E-2</v>
      </c>
    </row>
    <row r="259" spans="18:19" x14ac:dyDescent="0.2">
      <c r="R259" s="40" t="s">
        <v>292</v>
      </c>
      <c r="S259" s="45">
        <v>-9.6103573670554526E-2</v>
      </c>
    </row>
    <row r="260" spans="18:19" x14ac:dyDescent="0.2">
      <c r="R260" s="364" t="s">
        <v>292</v>
      </c>
      <c r="S260" s="45">
        <v>-5.6975850547033982E-2</v>
      </c>
    </row>
    <row r="261" spans="18:19" x14ac:dyDescent="0.2">
      <c r="R261" s="365" t="s">
        <v>292</v>
      </c>
      <c r="S261" s="45">
        <v>0.52944969715203449</v>
      </c>
    </row>
    <row r="262" spans="18:19" x14ac:dyDescent="0.2">
      <c r="R262" s="45" t="s">
        <v>188</v>
      </c>
      <c r="S262" s="45">
        <v>-0.54680850012776716</v>
      </c>
    </row>
    <row r="263" spans="18:19" x14ac:dyDescent="0.2">
      <c r="R263" s="359" t="s">
        <v>188</v>
      </c>
      <c r="S263" s="45">
        <v>-1.3259915447919542E-2</v>
      </c>
    </row>
    <row r="264" spans="18:19" x14ac:dyDescent="0.2">
      <c r="R264" s="93" t="s">
        <v>188</v>
      </c>
      <c r="S264" s="45">
        <v>0.12762643053524822</v>
      </c>
    </row>
    <row r="265" spans="18:19" x14ac:dyDescent="0.2">
      <c r="R265" s="40" t="s">
        <v>654</v>
      </c>
      <c r="S265" s="40">
        <v>0.18872897374307454</v>
      </c>
    </row>
    <row r="266" spans="18:19" x14ac:dyDescent="0.2">
      <c r="R266" s="364" t="s">
        <v>654</v>
      </c>
      <c r="S266" s="40">
        <v>1.4388128122661088</v>
      </c>
    </row>
    <row r="267" spans="18:19" x14ac:dyDescent="0.2">
      <c r="R267" s="365" t="s">
        <v>654</v>
      </c>
      <c r="S267" s="40">
        <v>0.25099614776087426</v>
      </c>
    </row>
    <row r="268" spans="18:19" x14ac:dyDescent="0.2">
      <c r="R268" s="40" t="s">
        <v>377</v>
      </c>
      <c r="S268" s="40">
        <v>0.56516391446028336</v>
      </c>
    </row>
    <row r="269" spans="18:19" x14ac:dyDescent="0.2">
      <c r="R269" s="364" t="s">
        <v>377</v>
      </c>
      <c r="S269" s="40">
        <v>0.83467321388816529</v>
      </c>
    </row>
    <row r="270" spans="18:19" x14ac:dyDescent="0.2">
      <c r="R270" s="365" t="s">
        <v>377</v>
      </c>
      <c r="S270" s="40">
        <v>1.1756121500010797</v>
      </c>
    </row>
    <row r="271" spans="18:19" x14ac:dyDescent="0.2">
      <c r="R271" s="45" t="s">
        <v>193</v>
      </c>
      <c r="S271" s="45">
        <v>0.22073504075222372</v>
      </c>
    </row>
    <row r="272" spans="18:19" x14ac:dyDescent="0.2">
      <c r="R272" s="359" t="s">
        <v>193</v>
      </c>
      <c r="S272" s="45">
        <v>0.22148085026758926</v>
      </c>
    </row>
    <row r="273" spans="18:19" x14ac:dyDescent="0.2">
      <c r="R273" s="93" t="s">
        <v>193</v>
      </c>
      <c r="S273" s="45">
        <v>0.22671595887518661</v>
      </c>
    </row>
    <row r="274" spans="18:19" x14ac:dyDescent="0.2">
      <c r="R274" s="40" t="s">
        <v>814</v>
      </c>
      <c r="S274" s="40">
        <v>0.27927348746714137</v>
      </c>
    </row>
    <row r="275" spans="18:19" x14ac:dyDescent="0.2">
      <c r="R275" s="364" t="s">
        <v>814</v>
      </c>
      <c r="S275" s="40">
        <v>0.48825210867815605</v>
      </c>
    </row>
    <row r="276" spans="18:19" x14ac:dyDescent="0.2">
      <c r="R276" s="365" t="s">
        <v>814</v>
      </c>
      <c r="S276" s="40">
        <v>0.37048223310530576</v>
      </c>
    </row>
    <row r="277" spans="18:19" x14ac:dyDescent="0.2">
      <c r="R277" s="45" t="s">
        <v>818</v>
      </c>
      <c r="S277" s="45">
        <v>0.28375616083009081</v>
      </c>
    </row>
    <row r="278" spans="18:19" x14ac:dyDescent="0.2">
      <c r="R278" s="359" t="s">
        <v>818</v>
      </c>
      <c r="S278" s="45">
        <v>2.4458541387659531</v>
      </c>
    </row>
    <row r="279" spans="18:19" x14ac:dyDescent="0.2">
      <c r="R279" s="93" t="s">
        <v>818</v>
      </c>
      <c r="S279" s="45">
        <v>1.2069628715866954</v>
      </c>
    </row>
    <row r="280" spans="18:19" x14ac:dyDescent="0.2">
      <c r="R280" s="45" t="s">
        <v>196</v>
      </c>
      <c r="S280" s="45">
        <v>-0.29034372057642094</v>
      </c>
    </row>
    <row r="281" spans="18:19" x14ac:dyDescent="0.2">
      <c r="R281" s="359" t="s">
        <v>196</v>
      </c>
      <c r="S281" s="45">
        <v>2.2606558342917951</v>
      </c>
    </row>
    <row r="282" spans="18:19" x14ac:dyDescent="0.2">
      <c r="R282" s="93" t="s">
        <v>196</v>
      </c>
      <c r="S282" s="45">
        <v>0.61200917704106306</v>
      </c>
    </row>
    <row r="283" spans="18:19" x14ac:dyDescent="0.2">
      <c r="R283" s="45" t="s">
        <v>381</v>
      </c>
      <c r="S283" s="45">
        <v>0.43412219498618765</v>
      </c>
    </row>
    <row r="284" spans="18:19" x14ac:dyDescent="0.2">
      <c r="R284" s="359" t="s">
        <v>381</v>
      </c>
      <c r="S284" s="45">
        <v>0.20237261912525595</v>
      </c>
    </row>
    <row r="285" spans="18:19" x14ac:dyDescent="0.2">
      <c r="R285" s="93" t="s">
        <v>381</v>
      </c>
      <c r="S285" s="45">
        <v>0.29219788901464366</v>
      </c>
    </row>
    <row r="286" spans="18:19" x14ac:dyDescent="0.2">
      <c r="R286" s="40" t="s">
        <v>199</v>
      </c>
      <c r="S286" s="40">
        <v>0.26909250684108921</v>
      </c>
    </row>
    <row r="287" spans="18:19" x14ac:dyDescent="0.2">
      <c r="R287" s="364" t="s">
        <v>199</v>
      </c>
      <c r="S287" s="40">
        <v>0.30377339927468455</v>
      </c>
    </row>
    <row r="288" spans="18:19" x14ac:dyDescent="0.2">
      <c r="R288" s="365" t="s">
        <v>199</v>
      </c>
      <c r="S288" s="40">
        <v>0.20235748937796694</v>
      </c>
    </row>
    <row r="289" spans="18:19" x14ac:dyDescent="0.2">
      <c r="R289" s="40" t="s">
        <v>568</v>
      </c>
      <c r="S289" s="40">
        <v>0.38242635120732393</v>
      </c>
    </row>
    <row r="290" spans="18:19" x14ac:dyDescent="0.2">
      <c r="R290" s="364" t="s">
        <v>568</v>
      </c>
      <c r="S290" s="40">
        <v>0.17133171128042171</v>
      </c>
    </row>
    <row r="291" spans="18:19" x14ac:dyDescent="0.2">
      <c r="R291" s="365" t="s">
        <v>568</v>
      </c>
      <c r="S291" s="40">
        <v>0.12145750266996741</v>
      </c>
    </row>
    <row r="292" spans="18:19" x14ac:dyDescent="0.2">
      <c r="R292" s="45" t="s">
        <v>675</v>
      </c>
      <c r="S292" s="45">
        <v>0.11934682557452457</v>
      </c>
    </row>
    <row r="293" spans="18:19" x14ac:dyDescent="0.2">
      <c r="R293" s="359" t="s">
        <v>675</v>
      </c>
      <c r="S293" s="45">
        <v>0.14029545823813613</v>
      </c>
    </row>
    <row r="294" spans="18:19" x14ac:dyDescent="0.2">
      <c r="R294" s="93" t="s">
        <v>675</v>
      </c>
      <c r="S294" s="45">
        <v>0.51351124190823294</v>
      </c>
    </row>
    <row r="295" spans="18:19" x14ac:dyDescent="0.2">
      <c r="R295" s="40" t="s">
        <v>301</v>
      </c>
      <c r="S295" s="45">
        <v>0.51572366051199225</v>
      </c>
    </row>
    <row r="296" spans="18:19" x14ac:dyDescent="0.2">
      <c r="R296" s="364" t="s">
        <v>301</v>
      </c>
      <c r="S296" s="45">
        <v>0.21346151875088418</v>
      </c>
    </row>
    <row r="297" spans="18:19" x14ac:dyDescent="0.2">
      <c r="R297" s="365" t="s">
        <v>301</v>
      </c>
      <c r="S297" s="45">
        <v>0.35250921364611937</v>
      </c>
    </row>
    <row r="298" spans="18:19" x14ac:dyDescent="0.2">
      <c r="R298" s="45" t="s">
        <v>384</v>
      </c>
      <c r="S298" s="45">
        <v>0.18369717332863075</v>
      </c>
    </row>
    <row r="299" spans="18:19" x14ac:dyDescent="0.2">
      <c r="R299" s="359" t="s">
        <v>384</v>
      </c>
      <c r="S299" s="45">
        <v>0.33598708408932065</v>
      </c>
    </row>
    <row r="300" spans="18:19" x14ac:dyDescent="0.2">
      <c r="R300" s="93" t="s">
        <v>384</v>
      </c>
      <c r="S300" s="45">
        <v>0.28093812796026957</v>
      </c>
    </row>
    <row r="301" spans="18:19" x14ac:dyDescent="0.2">
      <c r="R301" s="40" t="s">
        <v>297</v>
      </c>
      <c r="S301" s="40">
        <v>-0.198382902437372</v>
      </c>
    </row>
    <row r="302" spans="18:19" x14ac:dyDescent="0.2">
      <c r="R302" s="364" t="s">
        <v>297</v>
      </c>
      <c r="S302" s="40">
        <v>2.5099531615925059</v>
      </c>
    </row>
    <row r="303" spans="18:19" x14ac:dyDescent="0.2">
      <c r="R303" s="365" t="s">
        <v>297</v>
      </c>
      <c r="S303" s="40">
        <v>0.18575168038332704</v>
      </c>
    </row>
    <row r="304" spans="18:19" x14ac:dyDescent="0.2">
      <c r="R304" s="40" t="s">
        <v>387</v>
      </c>
      <c r="S304" s="40">
        <v>0.18010005558643691</v>
      </c>
    </row>
    <row r="305" spans="18:19" x14ac:dyDescent="0.2">
      <c r="R305" s="364" t="s">
        <v>387</v>
      </c>
      <c r="S305" s="40">
        <v>9.4177288528389344E-2</v>
      </c>
    </row>
    <row r="306" spans="18:19" x14ac:dyDescent="0.2">
      <c r="R306" s="365" t="s">
        <v>387</v>
      </c>
      <c r="S306" s="40">
        <v>0.31889307804144795</v>
      </c>
    </row>
    <row r="307" spans="18:19" x14ac:dyDescent="0.2">
      <c r="R307" s="45" t="s">
        <v>574</v>
      </c>
      <c r="S307" s="45">
        <v>1.4148577780236162</v>
      </c>
    </row>
    <row r="308" spans="18:19" x14ac:dyDescent="0.2">
      <c r="R308" s="359" t="s">
        <v>574</v>
      </c>
      <c r="S308" s="45">
        <v>0.10361562502478357</v>
      </c>
    </row>
    <row r="309" spans="18:19" x14ac:dyDescent="0.2">
      <c r="R309" s="93" t="s">
        <v>574</v>
      </c>
      <c r="S309" s="45">
        <v>2.4693735971038131</v>
      </c>
    </row>
    <row r="310" spans="18:19" x14ac:dyDescent="0.2">
      <c r="R310" s="45" t="s">
        <v>691</v>
      </c>
      <c r="S310" s="45">
        <v>1.5971247491140417E-2</v>
      </c>
    </row>
    <row r="311" spans="18:19" x14ac:dyDescent="0.2">
      <c r="R311" s="359" t="s">
        <v>691</v>
      </c>
      <c r="S311" s="45">
        <v>8.7466412691981719E-3</v>
      </c>
    </row>
    <row r="312" spans="18:19" x14ac:dyDescent="0.2">
      <c r="R312" s="93" t="s">
        <v>691</v>
      </c>
      <c r="S312" s="45">
        <v>8.0283883730049212E-3</v>
      </c>
    </row>
    <row r="313" spans="18:19" x14ac:dyDescent="0.2">
      <c r="R313" s="45" t="s">
        <v>578</v>
      </c>
      <c r="S313" s="45">
        <v>0.43980703773864521</v>
      </c>
    </row>
    <row r="314" spans="18:19" x14ac:dyDescent="0.2">
      <c r="R314" s="359" t="s">
        <v>578</v>
      </c>
      <c r="S314" s="45">
        <v>0.42182167603906889</v>
      </c>
    </row>
    <row r="315" spans="18:19" x14ac:dyDescent="0.2">
      <c r="R315" s="93" t="s">
        <v>578</v>
      </c>
      <c r="S315" s="45">
        <v>0.55881047717498544</v>
      </c>
    </row>
    <row r="316" spans="18:19" x14ac:dyDescent="0.2">
      <c r="R316" s="45" t="s">
        <v>205</v>
      </c>
      <c r="S316" s="45">
        <v>-0.97754213037360638</v>
      </c>
    </row>
    <row r="317" spans="18:19" x14ac:dyDescent="0.2">
      <c r="R317" s="359" t="s">
        <v>205</v>
      </c>
      <c r="S317" s="45">
        <v>-0.8778582211405157</v>
      </c>
    </row>
    <row r="318" spans="18:19" x14ac:dyDescent="0.2">
      <c r="R318" s="93" t="s">
        <v>205</v>
      </c>
      <c r="S318" s="45">
        <v>0.50490768069187997</v>
      </c>
    </row>
    <row r="319" spans="18:19" x14ac:dyDescent="0.2">
      <c r="R319" s="45" t="s">
        <v>208</v>
      </c>
      <c r="S319" s="45">
        <v>0.26378317369398863</v>
      </c>
    </row>
    <row r="320" spans="18:19" x14ac:dyDescent="0.2">
      <c r="R320" s="359" t="s">
        <v>208</v>
      </c>
      <c r="S320" s="45">
        <v>0.10870086289135926</v>
      </c>
    </row>
    <row r="321" spans="18:19" x14ac:dyDescent="0.2">
      <c r="R321" s="93" t="s">
        <v>208</v>
      </c>
      <c r="S321" s="45">
        <v>0.15897770124815369</v>
      </c>
    </row>
    <row r="322" spans="18:19" x14ac:dyDescent="0.2">
      <c r="R322" s="45" t="s">
        <v>841</v>
      </c>
      <c r="S322" s="45">
        <v>0.26643398252262979</v>
      </c>
    </row>
    <row r="323" spans="18:19" x14ac:dyDescent="0.2">
      <c r="R323" s="359" t="s">
        <v>841</v>
      </c>
      <c r="S323" s="45">
        <v>0.27146172253693546</v>
      </c>
    </row>
    <row r="324" spans="18:19" x14ac:dyDescent="0.2">
      <c r="R324" s="93" t="s">
        <v>841</v>
      </c>
      <c r="S324" s="45">
        <v>0.35130074173067272</v>
      </c>
    </row>
    <row r="325" spans="18:19" x14ac:dyDescent="0.2">
      <c r="R325" s="40" t="s">
        <v>843</v>
      </c>
      <c r="S325" s="40">
        <v>0.49968372562448549</v>
      </c>
    </row>
    <row r="326" spans="18:19" x14ac:dyDescent="0.2">
      <c r="R326" s="364" t="s">
        <v>843</v>
      </c>
      <c r="S326" s="40">
        <v>0.29431713738714904</v>
      </c>
    </row>
    <row r="327" spans="18:19" x14ac:dyDescent="0.2">
      <c r="R327" s="365" t="s">
        <v>843</v>
      </c>
      <c r="S327" s="45">
        <v>1.2739764708000838</v>
      </c>
    </row>
    <row r="328" spans="18:19" x14ac:dyDescent="0.2">
      <c r="R328" s="40" t="s">
        <v>491</v>
      </c>
      <c r="S328" s="40">
        <v>0.41781349350555275</v>
      </c>
    </row>
    <row r="329" spans="18:19" x14ac:dyDescent="0.2">
      <c r="R329" s="364" t="s">
        <v>491</v>
      </c>
      <c r="S329" s="40">
        <v>0.13225637576404539</v>
      </c>
    </row>
    <row r="330" spans="18:19" x14ac:dyDescent="0.2">
      <c r="R330" s="365" t="s">
        <v>491</v>
      </c>
      <c r="S330" s="40">
        <v>0.19298010654692524</v>
      </c>
    </row>
    <row r="331" spans="18:19" x14ac:dyDescent="0.2">
      <c r="R331" s="45" t="s">
        <v>112</v>
      </c>
      <c r="S331" s="45">
        <v>0.25167385924739938</v>
      </c>
    </row>
    <row r="332" spans="18:19" x14ac:dyDescent="0.2">
      <c r="R332" s="359" t="s">
        <v>112</v>
      </c>
      <c r="S332" s="45">
        <v>1.3070448352360036</v>
      </c>
    </row>
    <row r="333" spans="18:19" x14ac:dyDescent="0.2">
      <c r="R333" s="93" t="s">
        <v>112</v>
      </c>
      <c r="S333" s="45">
        <v>0.61112291058807078</v>
      </c>
    </row>
    <row r="334" spans="18:19" x14ac:dyDescent="0.2">
      <c r="R334" s="40" t="s">
        <v>210</v>
      </c>
      <c r="S334" s="40">
        <v>0.21606155840613356</v>
      </c>
    </row>
    <row r="335" spans="18:19" x14ac:dyDescent="0.2">
      <c r="R335" s="364" t="s">
        <v>210</v>
      </c>
      <c r="S335" s="40">
        <v>0.21863322259825291</v>
      </c>
    </row>
    <row r="336" spans="18:19" x14ac:dyDescent="0.2">
      <c r="R336" s="365" t="s">
        <v>210</v>
      </c>
      <c r="S336" s="40">
        <v>0.20731397281705291</v>
      </c>
    </row>
    <row r="337" spans="18:19" x14ac:dyDescent="0.2">
      <c r="R337" s="45" t="s">
        <v>845</v>
      </c>
      <c r="S337" s="45">
        <v>0.44705282469918367</v>
      </c>
    </row>
    <row r="338" spans="18:19" x14ac:dyDescent="0.2">
      <c r="R338" s="359" t="s">
        <v>845</v>
      </c>
      <c r="S338" s="45">
        <v>0.73771636293603604</v>
      </c>
    </row>
    <row r="339" spans="18:19" x14ac:dyDescent="0.2">
      <c r="R339" s="93" t="s">
        <v>845</v>
      </c>
      <c r="S339" s="45">
        <v>-1.1837350203295527</v>
      </c>
    </row>
    <row r="340" spans="18:19" x14ac:dyDescent="0.2">
      <c r="R340" s="40" t="s">
        <v>115</v>
      </c>
      <c r="S340" s="40">
        <v>0.57776523219884257</v>
      </c>
    </row>
    <row r="341" spans="18:19" x14ac:dyDescent="0.2">
      <c r="R341" s="364" t="s">
        <v>115</v>
      </c>
      <c r="S341" s="40">
        <v>2.7191929257650371</v>
      </c>
    </row>
    <row r="342" spans="18:19" x14ac:dyDescent="0.2">
      <c r="R342" s="365" t="s">
        <v>115</v>
      </c>
      <c r="S342" s="40">
        <v>-1.5612861338378587</v>
      </c>
    </row>
    <row r="343" spans="18:19" x14ac:dyDescent="0.2">
      <c r="R343" s="45" t="s">
        <v>487</v>
      </c>
      <c r="S343" s="45">
        <v>0.2330704047597584</v>
      </c>
    </row>
    <row r="344" spans="18:19" x14ac:dyDescent="0.2">
      <c r="R344" s="359" t="s">
        <v>487</v>
      </c>
      <c r="S344" s="45">
        <v>0.70980761469124176</v>
      </c>
    </row>
    <row r="345" spans="18:19" x14ac:dyDescent="0.2">
      <c r="R345" s="93" t="s">
        <v>487</v>
      </c>
      <c r="S345" s="45">
        <v>0.2485914334436754</v>
      </c>
    </row>
    <row r="346" spans="18:19" x14ac:dyDescent="0.2">
      <c r="R346" s="45" t="s">
        <v>310</v>
      </c>
      <c r="S346" s="45">
        <v>0.41993608542070199</v>
      </c>
    </row>
    <row r="347" spans="18:19" x14ac:dyDescent="0.2">
      <c r="R347" s="359" t="s">
        <v>310</v>
      </c>
      <c r="S347" s="45">
        <v>0.43013493386712692</v>
      </c>
    </row>
    <row r="348" spans="18:19" x14ac:dyDescent="0.2">
      <c r="R348" s="93" t="s">
        <v>310</v>
      </c>
      <c r="S348" s="45">
        <v>-0.10190392183256856</v>
      </c>
    </row>
    <row r="349" spans="18:19" x14ac:dyDescent="0.2">
      <c r="R349" s="40" t="s">
        <v>584</v>
      </c>
      <c r="S349" s="40">
        <v>0.23174048551422491</v>
      </c>
    </row>
    <row r="350" spans="18:19" x14ac:dyDescent="0.2">
      <c r="R350" s="364" t="s">
        <v>584</v>
      </c>
      <c r="S350" s="40">
        <v>0.233034441210169</v>
      </c>
    </row>
    <row r="351" spans="18:19" x14ac:dyDescent="0.2">
      <c r="R351" s="365" t="s">
        <v>584</v>
      </c>
      <c r="S351" s="40">
        <v>0.24550813705382449</v>
      </c>
    </row>
    <row r="352" spans="18:19" x14ac:dyDescent="0.2">
      <c r="R352" s="45" t="s">
        <v>314</v>
      </c>
      <c r="S352" s="45">
        <v>8.2083767219410457E-4</v>
      </c>
    </row>
    <row r="353" spans="18:19" x14ac:dyDescent="0.2">
      <c r="R353" s="359" t="s">
        <v>314</v>
      </c>
      <c r="S353" s="45">
        <v>1.6344441518212657E-3</v>
      </c>
    </row>
    <row r="354" spans="18:19" x14ac:dyDescent="0.2">
      <c r="R354" s="93" t="s">
        <v>314</v>
      </c>
      <c r="S354" s="45">
        <v>0.14327837632894491</v>
      </c>
    </row>
    <row r="355" spans="18:19" x14ac:dyDescent="0.2">
      <c r="R355" s="45" t="s">
        <v>850</v>
      </c>
      <c r="S355" s="45">
        <v>0</v>
      </c>
    </row>
    <row r="356" spans="18:19" x14ac:dyDescent="0.2">
      <c r="R356" s="359" t="s">
        <v>850</v>
      </c>
      <c r="S356" s="45">
        <v>0.26296198543985944</v>
      </c>
    </row>
    <row r="357" spans="18:19" x14ac:dyDescent="0.2">
      <c r="R357" s="93" t="s">
        <v>850</v>
      </c>
      <c r="S357" s="45">
        <v>0.11725826598129839</v>
      </c>
    </row>
    <row r="358" spans="18:19" x14ac:dyDescent="0.2">
      <c r="R358" s="45" t="s">
        <v>588</v>
      </c>
      <c r="S358" s="45">
        <v>0.16589407470150666</v>
      </c>
    </row>
    <row r="359" spans="18:19" x14ac:dyDescent="0.2">
      <c r="R359" s="359" t="s">
        <v>588</v>
      </c>
      <c r="S359" s="45">
        <v>0.13021413162028092</v>
      </c>
    </row>
    <row r="360" spans="18:19" x14ac:dyDescent="0.2">
      <c r="R360" s="93" t="s">
        <v>588</v>
      </c>
      <c r="S360" s="45">
        <v>0.12429918734516203</v>
      </c>
    </row>
    <row r="361" spans="18:19" x14ac:dyDescent="0.2">
      <c r="R361" s="45" t="s">
        <v>119</v>
      </c>
      <c r="S361" s="45">
        <v>0.50578995218548028</v>
      </c>
    </row>
    <row r="362" spans="18:19" x14ac:dyDescent="0.2">
      <c r="R362" s="359" t="s">
        <v>119</v>
      </c>
      <c r="S362" s="45">
        <v>1.2099301710242707</v>
      </c>
    </row>
    <row r="363" spans="18:19" x14ac:dyDescent="0.2">
      <c r="R363" s="93" t="s">
        <v>119</v>
      </c>
      <c r="S363" s="45">
        <v>1.9133026601573693</v>
      </c>
    </row>
    <row r="364" spans="18:19" x14ac:dyDescent="0.2">
      <c r="R364" s="40" t="s">
        <v>320</v>
      </c>
      <c r="S364" s="40">
        <v>0.20107223246246581</v>
      </c>
    </row>
    <row r="365" spans="18:19" x14ac:dyDescent="0.2">
      <c r="R365" s="364" t="s">
        <v>320</v>
      </c>
      <c r="S365" s="40">
        <v>0.18738218736940437</v>
      </c>
    </row>
    <row r="366" spans="18:19" x14ac:dyDescent="0.2">
      <c r="R366" s="365" t="s">
        <v>320</v>
      </c>
      <c r="S366" s="40">
        <v>0.22297653761057423</v>
      </c>
    </row>
    <row r="367" spans="18:19" x14ac:dyDescent="0.2">
      <c r="R367" s="45" t="s">
        <v>212</v>
      </c>
      <c r="S367" s="45">
        <v>0.15269854635560454</v>
      </c>
    </row>
    <row r="368" spans="18:19" x14ac:dyDescent="0.2">
      <c r="R368" s="359" t="s">
        <v>212</v>
      </c>
      <c r="S368" s="45">
        <v>0.18520485693330585</v>
      </c>
    </row>
    <row r="369" spans="18:19" x14ac:dyDescent="0.2">
      <c r="R369" s="93" t="s">
        <v>212</v>
      </c>
      <c r="S369" s="45">
        <v>0.14703952238172782</v>
      </c>
    </row>
    <row r="370" spans="18:19" x14ac:dyDescent="0.2">
      <c r="R370" s="45" t="s">
        <v>215</v>
      </c>
      <c r="S370" s="45">
        <v>0.27404847480137434</v>
      </c>
    </row>
    <row r="371" spans="18:19" x14ac:dyDescent="0.2">
      <c r="R371" s="359" t="s">
        <v>215</v>
      </c>
      <c r="S371" s="45">
        <v>0.33330139449827395</v>
      </c>
    </row>
    <row r="372" spans="18:19" x14ac:dyDescent="0.2">
      <c r="R372" s="93" t="s">
        <v>215</v>
      </c>
      <c r="S372" s="45">
        <v>0.25023472403601504</v>
      </c>
    </row>
    <row r="373" spans="18:19" x14ac:dyDescent="0.2">
      <c r="R373" s="45" t="s">
        <v>391</v>
      </c>
      <c r="S373" s="45">
        <v>1.5086071004215238</v>
      </c>
    </row>
    <row r="374" spans="18:19" x14ac:dyDescent="0.2">
      <c r="R374" s="359" t="s">
        <v>391</v>
      </c>
      <c r="S374" s="45">
        <v>8.9206300593182505E-2</v>
      </c>
    </row>
    <row r="375" spans="18:19" x14ac:dyDescent="0.2">
      <c r="R375" s="93" t="s">
        <v>391</v>
      </c>
      <c r="S375" s="45">
        <v>0.13203259846444734</v>
      </c>
    </row>
    <row r="376" spans="18:19" x14ac:dyDescent="0.2">
      <c r="R376" s="45" t="s">
        <v>325</v>
      </c>
      <c r="S376" s="45">
        <v>0.27769052251576454</v>
      </c>
    </row>
    <row r="377" spans="18:19" x14ac:dyDescent="0.2">
      <c r="R377" s="359" t="s">
        <v>325</v>
      </c>
      <c r="S377" s="45">
        <v>0.2849883257794259</v>
      </c>
    </row>
    <row r="378" spans="18:19" x14ac:dyDescent="0.2">
      <c r="R378" s="93" t="s">
        <v>325</v>
      </c>
      <c r="S378" s="45">
        <v>0.27297668038408779</v>
      </c>
    </row>
    <row r="379" spans="18:19" x14ac:dyDescent="0.2">
      <c r="R379" s="45" t="s">
        <v>329</v>
      </c>
      <c r="S379" s="45">
        <v>2.1193601739705765</v>
      </c>
    </row>
    <row r="380" spans="18:19" x14ac:dyDescent="0.2">
      <c r="R380" s="359" t="s">
        <v>329</v>
      </c>
      <c r="S380" s="45">
        <v>-2.3625715940536716</v>
      </c>
    </row>
    <row r="381" spans="18:19" x14ac:dyDescent="0.2">
      <c r="R381" s="93" t="s">
        <v>329</v>
      </c>
      <c r="S381" s="45">
        <v>0.28871866864752144</v>
      </c>
    </row>
    <row r="382" spans="18:19" x14ac:dyDescent="0.2">
      <c r="R382" s="45" t="s">
        <v>397</v>
      </c>
      <c r="S382" s="45">
        <v>0.2192624276758729</v>
      </c>
    </row>
    <row r="383" spans="18:19" x14ac:dyDescent="0.2">
      <c r="R383" s="359" t="s">
        <v>397</v>
      </c>
      <c r="S383" s="45">
        <v>0.27841471434347587</v>
      </c>
    </row>
    <row r="384" spans="18:19" x14ac:dyDescent="0.2">
      <c r="R384" s="93" t="s">
        <v>397</v>
      </c>
      <c r="S384" s="45">
        <v>0.2798877026653192</v>
      </c>
    </row>
    <row r="385" spans="18:19" x14ac:dyDescent="0.2">
      <c r="R385" s="40" t="s">
        <v>857</v>
      </c>
      <c r="S385" s="40">
        <v>-2.7097410316443454E-2</v>
      </c>
    </row>
    <row r="386" spans="18:19" x14ac:dyDescent="0.2">
      <c r="R386" s="364" t="s">
        <v>857</v>
      </c>
      <c r="S386" s="40">
        <v>-3.6056383698885623</v>
      </c>
    </row>
    <row r="387" spans="18:19" x14ac:dyDescent="0.2">
      <c r="R387" s="365" t="s">
        <v>857</v>
      </c>
      <c r="S387" s="45">
        <v>-1.1506745361786016E-5</v>
      </c>
    </row>
    <row r="388" spans="18:19" x14ac:dyDescent="0.2">
      <c r="R388" s="45" t="s">
        <v>502</v>
      </c>
      <c r="S388" s="45">
        <v>1.1989411972299189</v>
      </c>
    </row>
    <row r="389" spans="18:19" x14ac:dyDescent="0.2">
      <c r="R389" s="359" t="s">
        <v>502</v>
      </c>
      <c r="S389" s="45">
        <v>0.56131378547542665</v>
      </c>
    </row>
    <row r="390" spans="18:19" x14ac:dyDescent="0.2">
      <c r="R390" s="93" t="s">
        <v>502</v>
      </c>
      <c r="S390" s="45">
        <v>1.051538134915311</v>
      </c>
    </row>
    <row r="391" spans="18:19" x14ac:dyDescent="0.2">
      <c r="R391" s="40" t="s">
        <v>219</v>
      </c>
      <c r="S391" s="40">
        <v>0.72384202731722613</v>
      </c>
    </row>
    <row r="392" spans="18:19" x14ac:dyDescent="0.2">
      <c r="R392" s="364" t="s">
        <v>219</v>
      </c>
      <c r="S392" s="40">
        <v>0.72344010163659289</v>
      </c>
    </row>
    <row r="393" spans="18:19" x14ac:dyDescent="0.2">
      <c r="R393" s="365" t="s">
        <v>219</v>
      </c>
      <c r="S393" s="40">
        <v>0.76361691752098781</v>
      </c>
    </row>
    <row r="394" spans="18:19" x14ac:dyDescent="0.2">
      <c r="R394" s="45" t="s">
        <v>506</v>
      </c>
      <c r="S394" s="45">
        <v>0.29338855474578251</v>
      </c>
    </row>
    <row r="395" spans="18:19" x14ac:dyDescent="0.2">
      <c r="R395" s="359" t="s">
        <v>506</v>
      </c>
      <c r="S395" s="45">
        <v>0.15177700496015872</v>
      </c>
    </row>
    <row r="396" spans="18:19" x14ac:dyDescent="0.2">
      <c r="R396" s="93" t="s">
        <v>506</v>
      </c>
      <c r="S396" s="45">
        <v>0.55264768119447016</v>
      </c>
    </row>
    <row r="397" spans="18:19" x14ac:dyDescent="0.2">
      <c r="R397" s="45" t="s">
        <v>131</v>
      </c>
      <c r="S397" s="45">
        <v>-9.4464551474590028E-2</v>
      </c>
    </row>
    <row r="398" spans="18:19" x14ac:dyDescent="0.2">
      <c r="R398" s="359" t="s">
        <v>131</v>
      </c>
      <c r="S398" s="45">
        <v>-2.0444405037799804E-2</v>
      </c>
    </row>
    <row r="399" spans="18:19" x14ac:dyDescent="0.2">
      <c r="R399" s="93" t="s">
        <v>131</v>
      </c>
      <c r="S399" s="45">
        <v>-5.4452752847603163E-3</v>
      </c>
    </row>
    <row r="400" spans="18:19" x14ac:dyDescent="0.2">
      <c r="R400" s="45" t="s">
        <v>860</v>
      </c>
      <c r="S400" s="45">
        <v>0.15491325052218274</v>
      </c>
    </row>
    <row r="401" spans="18:19" x14ac:dyDescent="0.2">
      <c r="R401" s="359" t="s">
        <v>860</v>
      </c>
      <c r="S401" s="45">
        <v>0.2070841040571163</v>
      </c>
    </row>
    <row r="402" spans="18:19" x14ac:dyDescent="0.2">
      <c r="R402" s="93" t="s">
        <v>860</v>
      </c>
      <c r="S402" s="102">
        <v>0.39682901307336715</v>
      </c>
    </row>
    <row r="403" spans="18:19" x14ac:dyDescent="0.2">
      <c r="R403" s="45" t="s">
        <v>223</v>
      </c>
      <c r="S403" s="45">
        <v>0.2567366659976284</v>
      </c>
    </row>
    <row r="404" spans="18:19" x14ac:dyDescent="0.2">
      <c r="R404" s="359" t="s">
        <v>223</v>
      </c>
      <c r="S404" s="45">
        <v>0.1926711588417172</v>
      </c>
    </row>
    <row r="405" spans="18:19" x14ac:dyDescent="0.2">
      <c r="R405" s="93" t="s">
        <v>223</v>
      </c>
      <c r="S405" s="45">
        <v>0.31514268355199454</v>
      </c>
    </row>
    <row r="406" spans="18:19" x14ac:dyDescent="0.2">
      <c r="R406" s="45" t="s">
        <v>595</v>
      </c>
      <c r="S406" s="45">
        <v>0.30191821581748202</v>
      </c>
    </row>
    <row r="407" spans="18:19" x14ac:dyDescent="0.2">
      <c r="R407" s="359" t="s">
        <v>595</v>
      </c>
      <c r="S407" s="45">
        <v>0.49328539192447068</v>
      </c>
    </row>
    <row r="408" spans="18:19" x14ac:dyDescent="0.2">
      <c r="R408" s="93" t="s">
        <v>595</v>
      </c>
      <c r="S408" s="45">
        <v>0.13073783951321111</v>
      </c>
    </row>
    <row r="409" spans="18:19" x14ac:dyDescent="0.2">
      <c r="R409" s="40" t="s">
        <v>337</v>
      </c>
      <c r="S409" s="40">
        <v>-5.3752949833985883E-3</v>
      </c>
    </row>
    <row r="410" spans="18:19" x14ac:dyDescent="0.2">
      <c r="R410" s="364" t="s">
        <v>337</v>
      </c>
      <c r="S410" s="40">
        <v>-3.9531752242903933E-4</v>
      </c>
    </row>
    <row r="411" spans="18:19" x14ac:dyDescent="0.2">
      <c r="R411" s="365" t="s">
        <v>337</v>
      </c>
      <c r="S411" s="40">
        <v>-1.264497082422332E-2</v>
      </c>
    </row>
  </sheetData>
  <sortState ref="R7:S411">
    <sortCondition ref="R7"/>
  </sortState>
  <mergeCells count="6">
    <mergeCell ref="B5:B6"/>
    <mergeCell ref="D3:D4"/>
    <mergeCell ref="N7:P7"/>
    <mergeCell ref="D5:F5"/>
    <mergeCell ref="J5:L5"/>
    <mergeCell ref="G5:I5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06"/>
  <sheetViews>
    <sheetView topLeftCell="AU1" workbookViewId="0">
      <selection activeCell="BH8" sqref="BH8"/>
    </sheetView>
  </sheetViews>
  <sheetFormatPr defaultRowHeight="14.25" x14ac:dyDescent="0.2"/>
  <cols>
    <col min="2" max="2" width="16.75" style="306" bestFit="1" customWidth="1"/>
    <col min="3" max="3" width="9" style="307"/>
    <col min="6" max="6" width="9.375" bestFit="1" customWidth="1"/>
    <col min="7" max="7" width="9" style="307"/>
    <col min="10" max="10" width="10.75" customWidth="1"/>
    <col min="11" max="11" width="9" style="307"/>
    <col min="14" max="14" width="9.125" style="304" bestFit="1" customWidth="1"/>
    <col min="16" max="16" width="9" style="350"/>
    <col min="18" max="18" width="9.125" style="302" bestFit="1" customWidth="1"/>
    <col min="19" max="19" width="16.75" style="305" bestFit="1" customWidth="1"/>
    <col min="20" max="20" width="9" style="307"/>
    <col min="23" max="23" width="9.625" style="303" bestFit="1" customWidth="1"/>
    <col min="27" max="27" width="12" style="339" customWidth="1"/>
    <col min="31" max="31" width="9.125" style="304" bestFit="1" customWidth="1"/>
    <col min="32" max="32" width="9" style="307"/>
    <col min="33" max="33" width="9" style="350"/>
    <col min="36" max="36" width="16.75" style="305" bestFit="1" customWidth="1"/>
    <col min="37" max="37" width="9" style="307"/>
    <col min="40" max="40" width="12.375" style="303" customWidth="1"/>
    <col min="41" max="41" width="9" style="307"/>
    <col min="44" max="44" width="11.5" style="326" customWidth="1"/>
    <col min="45" max="45" width="9" style="307"/>
    <col min="48" max="48" width="9" style="303"/>
    <col min="49" max="49" width="9" style="307"/>
    <col min="52" max="52" width="11.125" style="307" customWidth="1"/>
    <col min="53" max="53" width="12.125" style="307" customWidth="1"/>
    <col min="54" max="54" width="13.25" style="307" customWidth="1"/>
  </cols>
  <sheetData>
    <row r="1" spans="1:60" s="331" customFormat="1" ht="30" x14ac:dyDescent="0.2">
      <c r="A1" s="344" t="s">
        <v>5</v>
      </c>
      <c r="B1" s="345" t="s">
        <v>45</v>
      </c>
      <c r="C1" s="331" t="s">
        <v>1039</v>
      </c>
      <c r="E1" s="346" t="s">
        <v>1038</v>
      </c>
      <c r="F1" s="346" t="s">
        <v>46</v>
      </c>
      <c r="G1" s="331" t="s">
        <v>1039</v>
      </c>
      <c r="I1" s="344" t="s">
        <v>1038</v>
      </c>
      <c r="J1" s="346" t="s">
        <v>1043</v>
      </c>
      <c r="K1" s="331" t="s">
        <v>1039</v>
      </c>
      <c r="M1" s="344" t="s">
        <v>1038</v>
      </c>
      <c r="N1" s="347" t="s">
        <v>47</v>
      </c>
      <c r="O1" s="331" t="s">
        <v>1039</v>
      </c>
      <c r="P1" s="349"/>
      <c r="R1" s="344" t="s">
        <v>5</v>
      </c>
      <c r="S1" s="345" t="s">
        <v>45</v>
      </c>
      <c r="T1" s="331" t="s">
        <v>1039</v>
      </c>
      <c r="V1" s="331" t="s">
        <v>5</v>
      </c>
      <c r="W1" s="347" t="s">
        <v>46</v>
      </c>
      <c r="X1" s="331" t="s">
        <v>1039</v>
      </c>
      <c r="Z1" s="331" t="s">
        <v>5</v>
      </c>
      <c r="AA1" s="348" t="s">
        <v>1043</v>
      </c>
      <c r="AB1" s="331" t="s">
        <v>1039</v>
      </c>
      <c r="AD1" s="331" t="s">
        <v>5</v>
      </c>
      <c r="AE1" s="347" t="s">
        <v>47</v>
      </c>
      <c r="AF1" s="331" t="s">
        <v>1039</v>
      </c>
      <c r="AG1" s="349"/>
      <c r="AI1" s="331" t="s">
        <v>5</v>
      </c>
      <c r="AJ1" s="345" t="s">
        <v>45</v>
      </c>
      <c r="AK1" s="331" t="s">
        <v>1039</v>
      </c>
      <c r="AM1" s="331" t="s">
        <v>5</v>
      </c>
      <c r="AN1" s="347" t="s">
        <v>46</v>
      </c>
      <c r="AO1" s="331" t="s">
        <v>1039</v>
      </c>
      <c r="AQ1" s="331" t="s">
        <v>5</v>
      </c>
      <c r="AR1" s="351" t="s">
        <v>1043</v>
      </c>
      <c r="AS1" s="331" t="s">
        <v>1039</v>
      </c>
      <c r="AU1" s="331" t="s">
        <v>5</v>
      </c>
      <c r="AV1" s="347" t="s">
        <v>47</v>
      </c>
      <c r="AW1" s="331" t="s">
        <v>1039</v>
      </c>
      <c r="AZ1" s="332" t="s">
        <v>1046</v>
      </c>
      <c r="BA1" s="332" t="s">
        <v>1047</v>
      </c>
      <c r="BB1" s="332" t="s">
        <v>1048</v>
      </c>
      <c r="BE1" s="331" t="s">
        <v>5</v>
      </c>
      <c r="BF1" s="331" t="s">
        <v>7</v>
      </c>
      <c r="BG1" s="332" t="s">
        <v>1045</v>
      </c>
      <c r="BH1" s="331" t="s">
        <v>1049</v>
      </c>
    </row>
    <row r="2" spans="1:60" x14ac:dyDescent="0.2">
      <c r="A2" s="317" t="s">
        <v>15</v>
      </c>
      <c r="B2" s="318">
        <v>2.7046020938318099E-9</v>
      </c>
      <c r="C2" s="324">
        <v>5</v>
      </c>
      <c r="E2" s="311" t="s">
        <v>15</v>
      </c>
      <c r="F2" s="311">
        <v>1.3655244029075804</v>
      </c>
      <c r="G2" s="323">
        <v>4</v>
      </c>
      <c r="I2" s="308" t="s">
        <v>15</v>
      </c>
      <c r="J2" s="327">
        <v>0</v>
      </c>
      <c r="K2" s="321">
        <v>2</v>
      </c>
      <c r="M2" s="308" t="s">
        <v>15</v>
      </c>
      <c r="N2" s="334">
        <v>0.40714062795638623</v>
      </c>
      <c r="O2" s="310">
        <v>5</v>
      </c>
      <c r="R2" s="308" t="s">
        <v>15</v>
      </c>
      <c r="S2" s="309">
        <v>2.4741690681497919E-9</v>
      </c>
      <c r="T2" s="321">
        <v>2</v>
      </c>
      <c r="V2" s="313" t="s">
        <v>15</v>
      </c>
      <c r="W2" s="335">
        <v>1.1687092310733347</v>
      </c>
      <c r="X2" s="313">
        <v>4</v>
      </c>
      <c r="Z2" s="310" t="s">
        <v>15</v>
      </c>
      <c r="AA2" s="341">
        <v>0</v>
      </c>
      <c r="AB2" s="310">
        <v>2</v>
      </c>
      <c r="AD2" s="313" t="s">
        <v>15</v>
      </c>
      <c r="AE2" s="335">
        <v>0.38049765634369659</v>
      </c>
      <c r="AF2" s="323">
        <v>3</v>
      </c>
      <c r="AI2" s="319" t="s">
        <v>15</v>
      </c>
      <c r="AJ2" s="318">
        <v>2.2131200517787009E-9</v>
      </c>
      <c r="AK2" s="324">
        <v>5</v>
      </c>
      <c r="AM2" s="313" t="s">
        <v>15</v>
      </c>
      <c r="AN2" s="335">
        <v>1.4781947261663286</v>
      </c>
      <c r="AO2" s="323">
        <v>4</v>
      </c>
      <c r="AQ2" s="310" t="s">
        <v>15</v>
      </c>
      <c r="AR2" s="327">
        <v>0</v>
      </c>
      <c r="AS2" s="321">
        <v>2</v>
      </c>
      <c r="AU2" s="354" t="s">
        <v>15</v>
      </c>
      <c r="AV2" s="355">
        <v>0.36485422103049575</v>
      </c>
      <c r="AW2" s="356">
        <v>3</v>
      </c>
      <c r="AZ2" s="307">
        <f t="shared" ref="AZ2:AZ33" si="0">C2+G2+K2+O2</f>
        <v>16</v>
      </c>
      <c r="BA2" s="307">
        <f t="shared" ref="BA2:BA33" si="1">T2+X2+AB2+AF2</f>
        <v>11</v>
      </c>
      <c r="BB2" s="307">
        <f t="shared" ref="BB2:BB33" si="2">AK2+AO2+AS2+AW2</f>
        <v>14</v>
      </c>
      <c r="BC2" s="352">
        <v>13</v>
      </c>
      <c r="BE2" t="s">
        <v>15</v>
      </c>
      <c r="BF2">
        <v>2017</v>
      </c>
      <c r="BG2">
        <f>AZ2</f>
        <v>16</v>
      </c>
      <c r="BH2">
        <f t="shared" ref="BH2:BH65" si="3">IF(BG2&gt;=BC$2,1,0)</f>
        <v>1</v>
      </c>
    </row>
    <row r="3" spans="1:60" x14ac:dyDescent="0.2">
      <c r="A3" s="311" t="s">
        <v>718</v>
      </c>
      <c r="B3" s="312">
        <v>5.6964183625511218E-10</v>
      </c>
      <c r="C3" s="323">
        <v>4</v>
      </c>
      <c r="E3" s="317" t="s">
        <v>718</v>
      </c>
      <c r="F3" s="317">
        <v>2.9003783102143759</v>
      </c>
      <c r="G3" s="324">
        <v>5</v>
      </c>
      <c r="I3" s="308" t="s">
        <v>718</v>
      </c>
      <c r="J3" s="327">
        <v>0</v>
      </c>
      <c r="K3" s="321">
        <v>2</v>
      </c>
      <c r="M3" s="317" t="s">
        <v>718</v>
      </c>
      <c r="N3" s="336">
        <v>0.5781392507715879</v>
      </c>
      <c r="O3" s="319">
        <v>2</v>
      </c>
      <c r="R3" s="314" t="s">
        <v>718</v>
      </c>
      <c r="S3" s="315">
        <v>4.5016077860874165E-10</v>
      </c>
      <c r="T3" s="322">
        <v>3</v>
      </c>
      <c r="V3" s="313" t="s">
        <v>718</v>
      </c>
      <c r="W3" s="335">
        <v>1.73414820473644</v>
      </c>
      <c r="X3" s="313">
        <v>4</v>
      </c>
      <c r="Z3" s="310" t="s">
        <v>718</v>
      </c>
      <c r="AA3" s="341">
        <v>0</v>
      </c>
      <c r="AB3" s="310">
        <v>2</v>
      </c>
      <c r="AD3" s="313" t="s">
        <v>718</v>
      </c>
      <c r="AE3" s="335">
        <v>0.47071399733042485</v>
      </c>
      <c r="AF3" s="323">
        <v>3</v>
      </c>
      <c r="AI3" s="313" t="s">
        <v>718</v>
      </c>
      <c r="AJ3" s="312">
        <v>6.2863798894722041E-10</v>
      </c>
      <c r="AK3" s="323">
        <v>4</v>
      </c>
      <c r="AM3" s="313" t="s">
        <v>718</v>
      </c>
      <c r="AN3" s="335">
        <v>1.2328767123287672</v>
      </c>
      <c r="AO3" s="323">
        <v>4</v>
      </c>
      <c r="AQ3" s="310" t="s">
        <v>718</v>
      </c>
      <c r="AR3" s="327">
        <v>0</v>
      </c>
      <c r="AS3" s="321">
        <v>2</v>
      </c>
      <c r="AU3" s="354" t="s">
        <v>718</v>
      </c>
      <c r="AV3" s="355">
        <v>0.43280104715274953</v>
      </c>
      <c r="AW3" s="356">
        <v>3</v>
      </c>
      <c r="AZ3" s="307">
        <f t="shared" si="0"/>
        <v>13</v>
      </c>
      <c r="BA3" s="307">
        <f t="shared" si="1"/>
        <v>12</v>
      </c>
      <c r="BB3" s="307">
        <f t="shared" si="2"/>
        <v>13</v>
      </c>
      <c r="BC3" s="320"/>
      <c r="BE3" t="s">
        <v>15</v>
      </c>
      <c r="BF3">
        <v>2018</v>
      </c>
      <c r="BG3">
        <f>BA2</f>
        <v>11</v>
      </c>
      <c r="BH3">
        <f t="shared" si="3"/>
        <v>0</v>
      </c>
    </row>
    <row r="4" spans="1:60" x14ac:dyDescent="0.2">
      <c r="A4" s="308" t="s">
        <v>598</v>
      </c>
      <c r="B4" s="309">
        <v>1.1265320092012227E-10</v>
      </c>
      <c r="C4" s="321">
        <v>2</v>
      </c>
      <c r="E4" s="317" t="s">
        <v>598</v>
      </c>
      <c r="F4" s="317">
        <v>11.031390134529149</v>
      </c>
      <c r="G4" s="324">
        <v>5</v>
      </c>
      <c r="I4" s="308" t="s">
        <v>598</v>
      </c>
      <c r="J4" s="327">
        <v>0</v>
      </c>
      <c r="K4" s="321">
        <v>2</v>
      </c>
      <c r="M4" s="308" t="s">
        <v>598</v>
      </c>
      <c r="N4" s="334">
        <v>9.1736535657636634E-2</v>
      </c>
      <c r="O4" s="310">
        <v>5</v>
      </c>
      <c r="R4" s="308" t="s">
        <v>598</v>
      </c>
      <c r="S4" s="309">
        <v>1.1327958905815806E-10</v>
      </c>
      <c r="T4" s="321">
        <v>2</v>
      </c>
      <c r="V4" s="319" t="s">
        <v>598</v>
      </c>
      <c r="W4" s="336">
        <v>7.0045045045045047</v>
      </c>
      <c r="X4" s="319">
        <v>5</v>
      </c>
      <c r="Z4" s="310" t="s">
        <v>598</v>
      </c>
      <c r="AA4" s="341">
        <v>0</v>
      </c>
      <c r="AB4" s="310">
        <v>2</v>
      </c>
      <c r="AD4" s="319" t="s">
        <v>598</v>
      </c>
      <c r="AE4" s="336">
        <v>0.84501209112038411</v>
      </c>
      <c r="AF4" s="324">
        <v>2</v>
      </c>
      <c r="AI4" s="310" t="s">
        <v>598</v>
      </c>
      <c r="AJ4" s="309">
        <v>1.1451233579070388E-10</v>
      </c>
      <c r="AK4" s="321">
        <v>2</v>
      </c>
      <c r="AM4" s="319" t="s">
        <v>598</v>
      </c>
      <c r="AN4" s="336">
        <v>22.045454545454547</v>
      </c>
      <c r="AO4" s="324">
        <v>5</v>
      </c>
      <c r="AQ4" s="310" t="s">
        <v>598</v>
      </c>
      <c r="AR4" s="327">
        <v>0</v>
      </c>
      <c r="AS4" s="321">
        <v>2</v>
      </c>
      <c r="AU4" s="310" t="s">
        <v>598</v>
      </c>
      <c r="AV4" s="334">
        <v>7.1328066315678937E-2</v>
      </c>
      <c r="AW4" s="321">
        <v>5</v>
      </c>
      <c r="AZ4" s="307">
        <f t="shared" si="0"/>
        <v>14</v>
      </c>
      <c r="BA4" s="307">
        <f t="shared" si="1"/>
        <v>11</v>
      </c>
      <c r="BB4" s="307">
        <f t="shared" si="2"/>
        <v>14</v>
      </c>
      <c r="BE4" t="s">
        <v>15</v>
      </c>
      <c r="BF4">
        <v>2019</v>
      </c>
      <c r="BG4">
        <f>BB2</f>
        <v>14</v>
      </c>
      <c r="BH4">
        <f t="shared" si="3"/>
        <v>1</v>
      </c>
    </row>
    <row r="5" spans="1:60" x14ac:dyDescent="0.2">
      <c r="A5" s="317" t="s">
        <v>340</v>
      </c>
      <c r="B5" s="318">
        <v>1.9998950303003794E-7</v>
      </c>
      <c r="C5" s="324">
        <v>5</v>
      </c>
      <c r="E5" s="314" t="s">
        <v>340</v>
      </c>
      <c r="F5" s="314">
        <v>1.0807669959325974</v>
      </c>
      <c r="G5" s="322">
        <v>3</v>
      </c>
      <c r="I5" s="308" t="s">
        <v>340</v>
      </c>
      <c r="J5" s="327">
        <v>0</v>
      </c>
      <c r="K5" s="321">
        <v>2</v>
      </c>
      <c r="M5" s="314" t="s">
        <v>340</v>
      </c>
      <c r="N5" s="337">
        <v>0.22109194298273871</v>
      </c>
      <c r="O5" s="316">
        <v>4</v>
      </c>
      <c r="R5" s="317" t="s">
        <v>340</v>
      </c>
      <c r="S5" s="318">
        <v>1.9546019640005911E-7</v>
      </c>
      <c r="T5" s="324">
        <v>5</v>
      </c>
      <c r="V5" s="310" t="s">
        <v>340</v>
      </c>
      <c r="W5" s="334">
        <v>0.62116564417177911</v>
      </c>
      <c r="X5" s="310">
        <v>2</v>
      </c>
      <c r="Z5" s="310" t="s">
        <v>340</v>
      </c>
      <c r="AA5" s="341">
        <v>0</v>
      </c>
      <c r="AB5" s="310">
        <v>2</v>
      </c>
      <c r="AD5" s="316" t="s">
        <v>340</v>
      </c>
      <c r="AE5" s="337">
        <v>0.22797859435711904</v>
      </c>
      <c r="AF5" s="322">
        <v>4</v>
      </c>
      <c r="AI5" s="319" t="s">
        <v>340</v>
      </c>
      <c r="AJ5" s="318">
        <v>2.2700784681178226E-7</v>
      </c>
      <c r="AK5" s="324">
        <v>5</v>
      </c>
      <c r="AM5" s="316" t="s">
        <v>340</v>
      </c>
      <c r="AN5" s="337">
        <v>0.89573732718894006</v>
      </c>
      <c r="AO5" s="322">
        <v>3</v>
      </c>
      <c r="AQ5" s="310" t="s">
        <v>340</v>
      </c>
      <c r="AR5" s="327">
        <v>0</v>
      </c>
      <c r="AS5" s="321">
        <v>2</v>
      </c>
      <c r="AU5" s="316" t="s">
        <v>340</v>
      </c>
      <c r="AV5" s="337">
        <v>0.23865705154629177</v>
      </c>
      <c r="AW5" s="322">
        <v>4</v>
      </c>
      <c r="AZ5" s="307">
        <f t="shared" si="0"/>
        <v>14</v>
      </c>
      <c r="BA5" s="307">
        <f t="shared" si="1"/>
        <v>13</v>
      </c>
      <c r="BB5" s="307">
        <f t="shared" si="2"/>
        <v>14</v>
      </c>
      <c r="BE5" t="s">
        <v>718</v>
      </c>
      <c r="BF5">
        <v>2017</v>
      </c>
      <c r="BG5">
        <f>AZ3</f>
        <v>13</v>
      </c>
      <c r="BH5">
        <f t="shared" si="3"/>
        <v>1</v>
      </c>
    </row>
    <row r="6" spans="1:60" x14ac:dyDescent="0.2">
      <c r="A6" s="308" t="s">
        <v>723</v>
      </c>
      <c r="B6" s="309">
        <v>1.1729043970064991E-10</v>
      </c>
      <c r="C6" s="321">
        <v>2</v>
      </c>
      <c r="E6" s="317" t="s">
        <v>723</v>
      </c>
      <c r="F6" s="317">
        <v>2.8234771009337485</v>
      </c>
      <c r="G6" s="324">
        <v>5</v>
      </c>
      <c r="I6" s="314" t="s">
        <v>723</v>
      </c>
      <c r="J6" s="328">
        <v>1.6084352411081722E-4</v>
      </c>
      <c r="K6" s="322">
        <v>3</v>
      </c>
      <c r="M6" s="314" t="s">
        <v>723</v>
      </c>
      <c r="N6" s="337">
        <v>0.25052855887945602</v>
      </c>
      <c r="O6" s="316">
        <v>4</v>
      </c>
      <c r="R6" s="308" t="s">
        <v>723</v>
      </c>
      <c r="S6" s="309">
        <v>7.8180258743657668E-11</v>
      </c>
      <c r="T6" s="321">
        <v>2</v>
      </c>
      <c r="V6" s="313" t="s">
        <v>723</v>
      </c>
      <c r="W6" s="335">
        <v>1.7354368932038835</v>
      </c>
      <c r="X6" s="313">
        <v>4</v>
      </c>
      <c r="Z6" s="316" t="s">
        <v>723</v>
      </c>
      <c r="AA6" s="342">
        <v>6.5806196543586411E-4</v>
      </c>
      <c r="AB6" s="316">
        <v>3</v>
      </c>
      <c r="AD6" s="316" t="s">
        <v>723</v>
      </c>
      <c r="AE6" s="337">
        <v>0.24680633223573753</v>
      </c>
      <c r="AF6" s="322">
        <v>4</v>
      </c>
      <c r="AI6" s="310" t="s">
        <v>723</v>
      </c>
      <c r="AJ6" s="309">
        <v>8.7500885254727008E-11</v>
      </c>
      <c r="AK6" s="321">
        <v>2</v>
      </c>
      <c r="AM6" s="313" t="s">
        <v>723</v>
      </c>
      <c r="AN6" s="335">
        <v>1.5755883526126844</v>
      </c>
      <c r="AO6" s="323">
        <v>4</v>
      </c>
      <c r="AQ6" s="316" t="s">
        <v>723</v>
      </c>
      <c r="AR6" s="328">
        <v>1.3641253465353624E-3</v>
      </c>
      <c r="AS6" s="322">
        <v>3</v>
      </c>
      <c r="AU6" s="316" t="s">
        <v>723</v>
      </c>
      <c r="AV6" s="337">
        <v>0.24873468640166868</v>
      </c>
      <c r="AW6" s="322">
        <v>4</v>
      </c>
      <c r="AZ6" s="307">
        <f t="shared" si="0"/>
        <v>14</v>
      </c>
      <c r="BA6" s="307">
        <f t="shared" si="1"/>
        <v>13</v>
      </c>
      <c r="BB6" s="307">
        <f t="shared" si="2"/>
        <v>13</v>
      </c>
      <c r="BE6" t="s">
        <v>718</v>
      </c>
      <c r="BF6">
        <v>2018</v>
      </c>
      <c r="BG6">
        <f>BA3</f>
        <v>12</v>
      </c>
      <c r="BH6">
        <f t="shared" si="3"/>
        <v>0</v>
      </c>
    </row>
    <row r="7" spans="1:60" x14ac:dyDescent="0.2">
      <c r="A7" s="311" t="s">
        <v>402</v>
      </c>
      <c r="B7" s="312">
        <v>6.9741270181540906E-10</v>
      </c>
      <c r="C7" s="323">
        <v>4</v>
      </c>
      <c r="E7" s="314" t="s">
        <v>402</v>
      </c>
      <c r="F7" s="314">
        <v>0.73682279564632502</v>
      </c>
      <c r="G7" s="322">
        <v>3</v>
      </c>
      <c r="I7" s="308" t="s">
        <v>402</v>
      </c>
      <c r="J7" s="327">
        <v>0</v>
      </c>
      <c r="K7" s="321">
        <v>2</v>
      </c>
      <c r="M7" s="317" t="s">
        <v>402</v>
      </c>
      <c r="N7" s="336">
        <v>0.64913998751718305</v>
      </c>
      <c r="O7" s="319">
        <v>2</v>
      </c>
      <c r="R7" s="311" t="s">
        <v>402</v>
      </c>
      <c r="S7" s="312">
        <v>6.3939511106930001E-10</v>
      </c>
      <c r="T7" s="323">
        <v>4</v>
      </c>
      <c r="V7" s="310" t="s">
        <v>402</v>
      </c>
      <c r="W7" s="334">
        <v>0.44527573307590201</v>
      </c>
      <c r="X7" s="310">
        <v>2</v>
      </c>
      <c r="Z7" s="310" t="s">
        <v>402</v>
      </c>
      <c r="AA7" s="341">
        <v>0</v>
      </c>
      <c r="AB7" s="310">
        <v>2</v>
      </c>
      <c r="AD7" s="319" t="s">
        <v>402</v>
      </c>
      <c r="AE7" s="336">
        <v>0.70445384074628181</v>
      </c>
      <c r="AF7" s="324">
        <v>2</v>
      </c>
      <c r="AI7" s="313" t="s">
        <v>402</v>
      </c>
      <c r="AJ7" s="312">
        <v>6.2870415611444515E-10</v>
      </c>
      <c r="AK7" s="323">
        <v>4</v>
      </c>
      <c r="AM7" s="310" t="s">
        <v>402</v>
      </c>
      <c r="AN7" s="334">
        <v>0.43660896130346233</v>
      </c>
      <c r="AO7" s="321">
        <v>2</v>
      </c>
      <c r="AQ7" s="310" t="s">
        <v>402</v>
      </c>
      <c r="AR7" s="327">
        <v>0</v>
      </c>
      <c r="AS7" s="321">
        <v>2</v>
      </c>
      <c r="AU7" s="319" t="s">
        <v>402</v>
      </c>
      <c r="AV7" s="336">
        <v>0.68545975048222973</v>
      </c>
      <c r="AW7" s="357">
        <v>2</v>
      </c>
      <c r="AZ7" s="307">
        <f t="shared" si="0"/>
        <v>11</v>
      </c>
      <c r="BA7" s="307">
        <f t="shared" si="1"/>
        <v>10</v>
      </c>
      <c r="BB7" s="307">
        <f t="shared" si="2"/>
        <v>10</v>
      </c>
      <c r="BE7" t="s">
        <v>718</v>
      </c>
      <c r="BF7">
        <v>2019</v>
      </c>
      <c r="BG7">
        <f>BB3</f>
        <v>13</v>
      </c>
      <c r="BH7">
        <f t="shared" si="3"/>
        <v>1</v>
      </c>
    </row>
    <row r="8" spans="1:60" x14ac:dyDescent="0.2">
      <c r="A8" s="311" t="s">
        <v>727</v>
      </c>
      <c r="B8" s="312">
        <v>7.6970755164130011E-10</v>
      </c>
      <c r="C8" s="323">
        <v>4</v>
      </c>
      <c r="E8" s="317" t="s">
        <v>727</v>
      </c>
      <c r="F8" s="317">
        <v>4.8412698412698409</v>
      </c>
      <c r="G8" s="324">
        <v>5</v>
      </c>
      <c r="I8" s="314" t="s">
        <v>727</v>
      </c>
      <c r="J8" s="328">
        <v>4.9348487542557413E-4</v>
      </c>
      <c r="K8" s="322">
        <v>3</v>
      </c>
      <c r="M8" s="314" t="s">
        <v>727</v>
      </c>
      <c r="N8" s="337">
        <v>0.27590976789971938</v>
      </c>
      <c r="O8" s="316">
        <v>4</v>
      </c>
      <c r="R8" s="311" t="s">
        <v>727</v>
      </c>
      <c r="S8" s="312">
        <v>7.7309313807253971E-10</v>
      </c>
      <c r="T8" s="323">
        <v>4</v>
      </c>
      <c r="V8" s="319" t="s">
        <v>727</v>
      </c>
      <c r="W8" s="336">
        <v>6.4930555555555554</v>
      </c>
      <c r="X8" s="319">
        <v>5</v>
      </c>
      <c r="Z8" s="316" t="s">
        <v>727</v>
      </c>
      <c r="AA8" s="342">
        <v>6.5123847781648782E-4</v>
      </c>
      <c r="AB8" s="316">
        <v>3</v>
      </c>
      <c r="AD8" s="316" t="s">
        <v>727</v>
      </c>
      <c r="AE8" s="337">
        <v>0.24800360624900297</v>
      </c>
      <c r="AF8" s="322">
        <v>4</v>
      </c>
      <c r="AI8" s="313" t="s">
        <v>727</v>
      </c>
      <c r="AJ8" s="312">
        <v>8.1176242019533955E-10</v>
      </c>
      <c r="AK8" s="323">
        <v>4</v>
      </c>
      <c r="AM8" s="319" t="s">
        <v>727</v>
      </c>
      <c r="AN8" s="336">
        <v>5.333333333333333</v>
      </c>
      <c r="AO8" s="324">
        <v>5</v>
      </c>
      <c r="AQ8" s="316" t="s">
        <v>727</v>
      </c>
      <c r="AR8" s="328">
        <v>1.114332899746313E-3</v>
      </c>
      <c r="AS8" s="322">
        <v>3</v>
      </c>
      <c r="AU8" s="316" t="s">
        <v>727</v>
      </c>
      <c r="AV8" s="337">
        <v>0.22729067430889219</v>
      </c>
      <c r="AW8" s="322">
        <v>4</v>
      </c>
      <c r="AZ8" s="307">
        <f t="shared" si="0"/>
        <v>16</v>
      </c>
      <c r="BA8" s="307">
        <f t="shared" si="1"/>
        <v>16</v>
      </c>
      <c r="BB8" s="307">
        <f t="shared" si="2"/>
        <v>16</v>
      </c>
      <c r="BE8" t="s">
        <v>598</v>
      </c>
      <c r="BF8">
        <v>2017</v>
      </c>
      <c r="BG8">
        <f>AZ4</f>
        <v>14</v>
      </c>
      <c r="BH8">
        <f t="shared" si="3"/>
        <v>1</v>
      </c>
    </row>
    <row r="9" spans="1:60" x14ac:dyDescent="0.2">
      <c r="A9" s="314" t="s">
        <v>345</v>
      </c>
      <c r="B9" s="315">
        <v>2.4901966377768833E-10</v>
      </c>
      <c r="C9" s="322">
        <v>3</v>
      </c>
      <c r="E9" s="314" t="s">
        <v>345</v>
      </c>
      <c r="F9" s="314">
        <v>0.81274382314694404</v>
      </c>
      <c r="G9" s="322">
        <v>3</v>
      </c>
      <c r="I9" s="308" t="s">
        <v>345</v>
      </c>
      <c r="J9" s="327">
        <v>0</v>
      </c>
      <c r="K9" s="321">
        <v>2</v>
      </c>
      <c r="M9" s="311" t="s">
        <v>345</v>
      </c>
      <c r="N9" s="335">
        <v>0.46954309327320776</v>
      </c>
      <c r="O9" s="313">
        <v>3</v>
      </c>
      <c r="R9" s="308" t="s">
        <v>345</v>
      </c>
      <c r="S9" s="309">
        <v>1.438957311955291E-10</v>
      </c>
      <c r="T9" s="321">
        <v>2</v>
      </c>
      <c r="V9" s="316" t="s">
        <v>345</v>
      </c>
      <c r="W9" s="337">
        <v>0.93179049939098657</v>
      </c>
      <c r="X9" s="316">
        <v>3</v>
      </c>
      <c r="Z9" s="310" t="s">
        <v>345</v>
      </c>
      <c r="AA9" s="341">
        <v>0</v>
      </c>
      <c r="AB9" s="310">
        <v>2</v>
      </c>
      <c r="AD9" s="319" t="s">
        <v>345</v>
      </c>
      <c r="AE9" s="336">
        <v>0.60535669683583471</v>
      </c>
      <c r="AF9" s="324">
        <v>2</v>
      </c>
      <c r="AI9" s="310" t="s">
        <v>345</v>
      </c>
      <c r="AJ9" s="309">
        <v>1.217658144695352E-10</v>
      </c>
      <c r="AK9" s="321">
        <v>2</v>
      </c>
      <c r="AM9" s="316" t="s">
        <v>345</v>
      </c>
      <c r="AN9" s="337">
        <v>1.1140583554376657</v>
      </c>
      <c r="AO9" s="322">
        <v>3</v>
      </c>
      <c r="AQ9" s="310" t="s">
        <v>345</v>
      </c>
      <c r="AR9" s="327">
        <v>0</v>
      </c>
      <c r="AS9" s="321">
        <v>2</v>
      </c>
      <c r="AU9" s="319" t="s">
        <v>345</v>
      </c>
      <c r="AV9" s="336">
        <v>0.62479711607981125</v>
      </c>
      <c r="AW9" s="357">
        <v>2</v>
      </c>
      <c r="AZ9" s="307">
        <f t="shared" si="0"/>
        <v>11</v>
      </c>
      <c r="BA9" s="307">
        <f t="shared" si="1"/>
        <v>9</v>
      </c>
      <c r="BB9" s="307">
        <f t="shared" si="2"/>
        <v>9</v>
      </c>
      <c r="BE9" t="s">
        <v>598</v>
      </c>
      <c r="BF9">
        <v>2018</v>
      </c>
      <c r="BG9">
        <f>BA4</f>
        <v>11</v>
      </c>
      <c r="BH9">
        <f t="shared" si="3"/>
        <v>0</v>
      </c>
    </row>
    <row r="10" spans="1:60" x14ac:dyDescent="0.2">
      <c r="A10" s="314" t="s">
        <v>605</v>
      </c>
      <c r="B10" s="315">
        <v>2.6267079166884613E-10</v>
      </c>
      <c r="C10" s="322">
        <v>3</v>
      </c>
      <c r="E10" s="308" t="s">
        <v>605</v>
      </c>
      <c r="F10" s="308">
        <v>0.46442687747035571</v>
      </c>
      <c r="G10" s="321">
        <v>2</v>
      </c>
      <c r="I10" s="311" t="s">
        <v>605</v>
      </c>
      <c r="J10" s="329">
        <v>5.2058144905264827E-3</v>
      </c>
      <c r="K10" s="323">
        <v>4</v>
      </c>
      <c r="M10" s="308" t="s">
        <v>605</v>
      </c>
      <c r="N10" s="334">
        <v>0.139617951072005</v>
      </c>
      <c r="O10" s="310">
        <v>5</v>
      </c>
      <c r="R10" s="314" t="s">
        <v>605</v>
      </c>
      <c r="S10" s="315">
        <v>3.0286026623364845E-10</v>
      </c>
      <c r="T10" s="322">
        <v>3</v>
      </c>
      <c r="V10" s="310" t="s">
        <v>605</v>
      </c>
      <c r="W10" s="334">
        <v>0.31657355679702048</v>
      </c>
      <c r="X10" s="310">
        <v>2</v>
      </c>
      <c r="Z10" s="319" t="s">
        <v>605</v>
      </c>
      <c r="AA10" s="343">
        <v>1.3517100922217275E-2</v>
      </c>
      <c r="AB10" s="319">
        <v>5</v>
      </c>
      <c r="AD10" s="310" t="s">
        <v>605</v>
      </c>
      <c r="AE10" s="334">
        <v>0.14987208851550732</v>
      </c>
      <c r="AF10" s="321">
        <v>5</v>
      </c>
      <c r="AI10" s="316" t="s">
        <v>605</v>
      </c>
      <c r="AJ10" s="315">
        <v>3.7337089192779613E-10</v>
      </c>
      <c r="AK10" s="322">
        <v>3</v>
      </c>
      <c r="AM10" s="310" t="s">
        <v>605</v>
      </c>
      <c r="AN10" s="334">
        <v>0.35044247787610622</v>
      </c>
      <c r="AO10" s="321">
        <v>2</v>
      </c>
      <c r="AQ10" s="319" t="s">
        <v>605</v>
      </c>
      <c r="AR10" s="330">
        <v>1.0841579554027703E-2</v>
      </c>
      <c r="AS10" s="324">
        <v>5</v>
      </c>
      <c r="AU10" s="310" t="s">
        <v>605</v>
      </c>
      <c r="AV10" s="334">
        <v>0.12416780876349463</v>
      </c>
      <c r="AW10" s="321">
        <v>5</v>
      </c>
      <c r="AZ10" s="307">
        <f t="shared" si="0"/>
        <v>14</v>
      </c>
      <c r="BA10" s="307">
        <f t="shared" si="1"/>
        <v>15</v>
      </c>
      <c r="BB10" s="307">
        <f t="shared" si="2"/>
        <v>15</v>
      </c>
      <c r="BE10" t="s">
        <v>598</v>
      </c>
      <c r="BF10">
        <v>2019</v>
      </c>
      <c r="BG10">
        <f>BB4</f>
        <v>14</v>
      </c>
      <c r="BH10">
        <f t="shared" si="3"/>
        <v>1</v>
      </c>
    </row>
    <row r="11" spans="1:60" x14ac:dyDescent="0.2">
      <c r="A11" s="317" t="s">
        <v>514</v>
      </c>
      <c r="B11" s="318">
        <v>1.0602066418515265E-9</v>
      </c>
      <c r="C11" s="324">
        <v>5</v>
      </c>
      <c r="E11" s="314" t="s">
        <v>514</v>
      </c>
      <c r="F11" s="314">
        <v>1.0506329113924051</v>
      </c>
      <c r="G11" s="322">
        <v>3</v>
      </c>
      <c r="I11" s="314" t="s">
        <v>514</v>
      </c>
      <c r="J11" s="328">
        <v>2.3779827911694337E-4</v>
      </c>
      <c r="K11" s="322">
        <v>3</v>
      </c>
      <c r="M11" s="308" t="s">
        <v>514</v>
      </c>
      <c r="N11" s="334">
        <v>0.16371606583549245</v>
      </c>
      <c r="O11" s="310">
        <v>5</v>
      </c>
      <c r="R11" s="317" t="s">
        <v>514</v>
      </c>
      <c r="S11" s="318">
        <v>9.4538157647206363E-10</v>
      </c>
      <c r="T11" s="324">
        <v>5</v>
      </c>
      <c r="V11" s="313" t="s">
        <v>514</v>
      </c>
      <c r="W11" s="335">
        <v>1.9096819131646157</v>
      </c>
      <c r="X11" s="313">
        <v>4</v>
      </c>
      <c r="Z11" s="316" t="s">
        <v>514</v>
      </c>
      <c r="AA11" s="342">
        <v>5.1420329842603624E-4</v>
      </c>
      <c r="AB11" s="316">
        <v>3</v>
      </c>
      <c r="AD11" s="310" t="s">
        <v>514</v>
      </c>
      <c r="AE11" s="334">
        <v>0.1674823257743443</v>
      </c>
      <c r="AF11" s="321">
        <v>5</v>
      </c>
      <c r="AI11" s="319" t="s">
        <v>514</v>
      </c>
      <c r="AJ11" s="318">
        <v>9.5336178035637482E-10</v>
      </c>
      <c r="AK11" s="324">
        <v>5</v>
      </c>
      <c r="AM11" s="313" t="s">
        <v>514</v>
      </c>
      <c r="AN11" s="335">
        <v>1.4778325123152709</v>
      </c>
      <c r="AO11" s="323">
        <v>4</v>
      </c>
      <c r="AQ11" s="313" t="s">
        <v>514</v>
      </c>
      <c r="AR11" s="329">
        <v>1.4167292107637689E-3</v>
      </c>
      <c r="AS11" s="323">
        <v>4</v>
      </c>
      <c r="AU11" s="316" t="s">
        <v>514</v>
      </c>
      <c r="AV11" s="337">
        <v>0.17711488302581557</v>
      </c>
      <c r="AW11" s="322">
        <v>4</v>
      </c>
      <c r="AZ11" s="307">
        <f t="shared" si="0"/>
        <v>16</v>
      </c>
      <c r="BA11" s="307">
        <f t="shared" si="1"/>
        <v>17</v>
      </c>
      <c r="BB11" s="307">
        <f t="shared" si="2"/>
        <v>17</v>
      </c>
      <c r="BE11" t="s">
        <v>340</v>
      </c>
      <c r="BF11">
        <v>2017</v>
      </c>
      <c r="BG11">
        <f>AZ5</f>
        <v>14</v>
      </c>
      <c r="BH11">
        <f t="shared" si="3"/>
        <v>1</v>
      </c>
    </row>
    <row r="12" spans="1:60" x14ac:dyDescent="0.2">
      <c r="A12" s="314" t="s">
        <v>608</v>
      </c>
      <c r="B12" s="315">
        <v>4.6998970258943892E-10</v>
      </c>
      <c r="C12" s="322">
        <v>3</v>
      </c>
      <c r="E12" s="314" t="s">
        <v>608</v>
      </c>
      <c r="F12" s="314">
        <v>0.8165137614678899</v>
      </c>
      <c r="G12" s="322">
        <v>3</v>
      </c>
      <c r="I12" s="317" t="s">
        <v>608</v>
      </c>
      <c r="J12" s="330">
        <v>1.8553309159483184E-2</v>
      </c>
      <c r="K12" s="324">
        <v>5</v>
      </c>
      <c r="M12" s="308" t="s">
        <v>608</v>
      </c>
      <c r="N12" s="334">
        <v>5.9115130533809429E-2</v>
      </c>
      <c r="O12" s="310">
        <v>5</v>
      </c>
      <c r="R12" s="311" t="s">
        <v>608</v>
      </c>
      <c r="S12" s="312">
        <v>4.598443488258886E-10</v>
      </c>
      <c r="T12" s="323">
        <v>4</v>
      </c>
      <c r="V12" s="316" t="s">
        <v>608</v>
      </c>
      <c r="W12" s="337">
        <v>0.64197530864197527</v>
      </c>
      <c r="X12" s="316">
        <v>3</v>
      </c>
      <c r="Z12" s="319" t="s">
        <v>608</v>
      </c>
      <c r="AA12" s="343">
        <v>2.6954207170283503E-2</v>
      </c>
      <c r="AB12" s="319">
        <v>5</v>
      </c>
      <c r="AD12" s="310" t="s">
        <v>608</v>
      </c>
      <c r="AE12" s="334">
        <v>6.3629699647710633E-2</v>
      </c>
      <c r="AF12" s="321">
        <v>5</v>
      </c>
      <c r="AI12" s="313" t="s">
        <v>608</v>
      </c>
      <c r="AJ12" s="312">
        <v>5.4406663933050688E-10</v>
      </c>
      <c r="AK12" s="323">
        <v>4</v>
      </c>
      <c r="AM12" s="310" t="s">
        <v>608</v>
      </c>
      <c r="AN12" s="334">
        <v>0.44320297951582865</v>
      </c>
      <c r="AO12" s="321">
        <v>2</v>
      </c>
      <c r="AQ12" s="319" t="s">
        <v>608</v>
      </c>
      <c r="AR12" s="330">
        <v>3.1064697485893522E-2</v>
      </c>
      <c r="AS12" s="324">
        <v>5</v>
      </c>
      <c r="AU12" s="310" t="s">
        <v>608</v>
      </c>
      <c r="AV12" s="334">
        <v>5.9298156645880222E-2</v>
      </c>
      <c r="AW12" s="321">
        <v>5</v>
      </c>
      <c r="AZ12" s="307">
        <f t="shared" si="0"/>
        <v>16</v>
      </c>
      <c r="BA12" s="307">
        <f t="shared" si="1"/>
        <v>17</v>
      </c>
      <c r="BB12" s="307">
        <f t="shared" si="2"/>
        <v>16</v>
      </c>
      <c r="BE12" t="s">
        <v>340</v>
      </c>
      <c r="BF12">
        <v>2018</v>
      </c>
      <c r="BG12">
        <f>BA5</f>
        <v>13</v>
      </c>
      <c r="BH12">
        <f t="shared" si="3"/>
        <v>1</v>
      </c>
    </row>
    <row r="13" spans="1:60" x14ac:dyDescent="0.2">
      <c r="A13" s="314" t="s">
        <v>731</v>
      </c>
      <c r="B13" s="315">
        <v>3.2608628739459864E-10</v>
      </c>
      <c r="C13" s="322">
        <v>3</v>
      </c>
      <c r="E13" s="317" t="s">
        <v>731</v>
      </c>
      <c r="F13" s="317">
        <v>3.0086455331412103</v>
      </c>
      <c r="G13" s="324">
        <v>5</v>
      </c>
      <c r="I13" s="311" t="s">
        <v>731</v>
      </c>
      <c r="J13" s="329">
        <v>1.3610805113315637E-3</v>
      </c>
      <c r="K13" s="323">
        <v>4</v>
      </c>
      <c r="M13" s="308" t="s">
        <v>731</v>
      </c>
      <c r="N13" s="334">
        <v>0.15826609490743535</v>
      </c>
      <c r="O13" s="310">
        <v>5</v>
      </c>
      <c r="R13" s="314" t="s">
        <v>731</v>
      </c>
      <c r="S13" s="315">
        <v>3.1673823540408427E-10</v>
      </c>
      <c r="T13" s="322">
        <v>3</v>
      </c>
      <c r="V13" s="313" t="s">
        <v>731</v>
      </c>
      <c r="W13" s="335">
        <v>2.3963254593175853</v>
      </c>
      <c r="X13" s="313">
        <v>4</v>
      </c>
      <c r="Z13" s="313" t="s">
        <v>731</v>
      </c>
      <c r="AA13" s="340">
        <v>1.283880525396381E-3</v>
      </c>
      <c r="AB13" s="313">
        <v>4</v>
      </c>
      <c r="AD13" s="310" t="s">
        <v>731</v>
      </c>
      <c r="AE13" s="334">
        <v>0.13475697103993028</v>
      </c>
      <c r="AF13" s="321">
        <v>5</v>
      </c>
      <c r="AI13" s="316" t="s">
        <v>731</v>
      </c>
      <c r="AJ13" s="315">
        <v>3.2815766840433954E-10</v>
      </c>
      <c r="AK13" s="322">
        <v>3</v>
      </c>
      <c r="AM13" s="316" t="s">
        <v>731</v>
      </c>
      <c r="AN13" s="337">
        <v>1.0158730158730158</v>
      </c>
      <c r="AO13" s="322">
        <v>3</v>
      </c>
      <c r="AQ13" s="316" t="s">
        <v>731</v>
      </c>
      <c r="AR13" s="328">
        <v>1.3777002718719136E-3</v>
      </c>
      <c r="AS13" s="322">
        <v>3</v>
      </c>
      <c r="AU13" s="310" t="s">
        <v>731</v>
      </c>
      <c r="AV13" s="334">
        <v>0.13425223307531101</v>
      </c>
      <c r="AW13" s="321">
        <v>5</v>
      </c>
      <c r="AZ13" s="307">
        <f t="shared" si="0"/>
        <v>17</v>
      </c>
      <c r="BA13" s="307">
        <f t="shared" si="1"/>
        <v>16</v>
      </c>
      <c r="BB13" s="307">
        <f t="shared" si="2"/>
        <v>14</v>
      </c>
      <c r="BE13" t="s">
        <v>340</v>
      </c>
      <c r="BF13">
        <v>2019</v>
      </c>
      <c r="BG13">
        <f>BB5</f>
        <v>14</v>
      </c>
      <c r="BH13">
        <f t="shared" si="3"/>
        <v>1</v>
      </c>
    </row>
    <row r="14" spans="1:60" x14ac:dyDescent="0.2">
      <c r="A14" s="311" t="s">
        <v>518</v>
      </c>
      <c r="B14" s="312">
        <v>8.058387627264258E-10</v>
      </c>
      <c r="C14" s="323">
        <v>4</v>
      </c>
      <c r="E14" s="314" t="s">
        <v>518</v>
      </c>
      <c r="F14" s="314">
        <v>0.92293906810035842</v>
      </c>
      <c r="G14" s="322">
        <v>3</v>
      </c>
      <c r="I14" s="311" t="s">
        <v>518</v>
      </c>
      <c r="J14" s="329">
        <v>6.3783698971878449E-3</v>
      </c>
      <c r="K14" s="323">
        <v>4</v>
      </c>
      <c r="M14" s="314" t="s">
        <v>518</v>
      </c>
      <c r="N14" s="337">
        <v>0.23891025448661182</v>
      </c>
      <c r="O14" s="316">
        <v>4</v>
      </c>
      <c r="R14" s="311" t="s">
        <v>518</v>
      </c>
      <c r="S14" s="312">
        <v>6.8714106533303652E-10</v>
      </c>
      <c r="T14" s="323">
        <v>4</v>
      </c>
      <c r="V14" s="316" t="s">
        <v>518</v>
      </c>
      <c r="W14" s="337">
        <v>0.62928082191780821</v>
      </c>
      <c r="X14" s="316">
        <v>3</v>
      </c>
      <c r="Z14" s="313" t="s">
        <v>518</v>
      </c>
      <c r="AA14" s="340">
        <v>5.2940207722118899E-3</v>
      </c>
      <c r="AB14" s="313">
        <v>4</v>
      </c>
      <c r="AD14" s="316" t="s">
        <v>518</v>
      </c>
      <c r="AE14" s="337">
        <v>0.22020072439616031</v>
      </c>
      <c r="AF14" s="322">
        <v>4</v>
      </c>
      <c r="AI14" s="313" t="s">
        <v>518</v>
      </c>
      <c r="AJ14" s="312">
        <v>6.4131720921800412E-10</v>
      </c>
      <c r="AK14" s="323">
        <v>4</v>
      </c>
      <c r="AM14" s="310" t="s">
        <v>518</v>
      </c>
      <c r="AN14" s="334">
        <v>0.51303268514687628</v>
      </c>
      <c r="AO14" s="321">
        <v>2</v>
      </c>
      <c r="AQ14" s="313" t="s">
        <v>518</v>
      </c>
      <c r="AR14" s="329">
        <v>5.0530357353862389E-3</v>
      </c>
      <c r="AS14" s="323">
        <v>4</v>
      </c>
      <c r="AU14" s="316" t="s">
        <v>518</v>
      </c>
      <c r="AV14" s="337">
        <v>0.21935813144457109</v>
      </c>
      <c r="AW14" s="322">
        <v>4</v>
      </c>
      <c r="AZ14" s="307">
        <f t="shared" si="0"/>
        <v>15</v>
      </c>
      <c r="BA14" s="307">
        <f t="shared" si="1"/>
        <v>15</v>
      </c>
      <c r="BB14" s="307">
        <f t="shared" si="2"/>
        <v>14</v>
      </c>
      <c r="BE14" t="s">
        <v>723</v>
      </c>
      <c r="BF14">
        <v>2017</v>
      </c>
      <c r="BG14">
        <f>AZ6</f>
        <v>14</v>
      </c>
      <c r="BH14">
        <f t="shared" si="3"/>
        <v>1</v>
      </c>
    </row>
    <row r="15" spans="1:60" x14ac:dyDescent="0.2">
      <c r="A15" s="311" t="s">
        <v>522</v>
      </c>
      <c r="B15" s="312">
        <v>7.5625727241543302E-10</v>
      </c>
      <c r="C15" s="323">
        <v>4</v>
      </c>
      <c r="E15" s="311" t="s">
        <v>522</v>
      </c>
      <c r="F15" s="311">
        <v>1.2808988764044944</v>
      </c>
      <c r="G15" s="323">
        <v>4</v>
      </c>
      <c r="I15" s="311" t="s">
        <v>522</v>
      </c>
      <c r="J15" s="329">
        <v>1.2614111693183966E-2</v>
      </c>
      <c r="K15" s="323">
        <v>4</v>
      </c>
      <c r="M15" s="314" t="s">
        <v>522</v>
      </c>
      <c r="N15" s="337">
        <v>0.25587094277468408</v>
      </c>
      <c r="O15" s="316">
        <v>4</v>
      </c>
      <c r="R15" s="311" t="s">
        <v>522</v>
      </c>
      <c r="S15" s="312">
        <v>6.9809886454159244E-10</v>
      </c>
      <c r="T15" s="323">
        <v>4</v>
      </c>
      <c r="V15" s="313" t="s">
        <v>522</v>
      </c>
      <c r="W15" s="335">
        <v>1.2269938650306749</v>
      </c>
      <c r="X15" s="313">
        <v>4</v>
      </c>
      <c r="Z15" s="313" t="s">
        <v>522</v>
      </c>
      <c r="AA15" s="340">
        <v>9.4369216053842922E-3</v>
      </c>
      <c r="AB15" s="313">
        <v>4</v>
      </c>
      <c r="AD15" s="316" t="s">
        <v>522</v>
      </c>
      <c r="AE15" s="337">
        <v>0.27370510598815673</v>
      </c>
      <c r="AF15" s="322">
        <v>4</v>
      </c>
      <c r="AI15" s="313" t="s">
        <v>522</v>
      </c>
      <c r="AJ15" s="312">
        <v>6.0562364333055734E-10</v>
      </c>
      <c r="AK15" s="323">
        <v>4</v>
      </c>
      <c r="AM15" s="313" t="s">
        <v>522</v>
      </c>
      <c r="AN15" s="335">
        <v>1.3147410358565736</v>
      </c>
      <c r="AO15" s="323">
        <v>4</v>
      </c>
      <c r="AQ15" s="319" t="s">
        <v>522</v>
      </c>
      <c r="AR15" s="330">
        <v>1.3232748824479139E-2</v>
      </c>
      <c r="AS15" s="324">
        <v>5</v>
      </c>
      <c r="AU15" s="316" t="s">
        <v>522</v>
      </c>
      <c r="AV15" s="337">
        <v>0.28360587766420026</v>
      </c>
      <c r="AW15" s="322">
        <v>4</v>
      </c>
      <c r="AZ15" s="307">
        <f t="shared" si="0"/>
        <v>16</v>
      </c>
      <c r="BA15" s="307">
        <f t="shared" si="1"/>
        <v>16</v>
      </c>
      <c r="BB15" s="307">
        <f t="shared" si="2"/>
        <v>17</v>
      </c>
      <c r="BE15" t="s">
        <v>723</v>
      </c>
      <c r="BF15">
        <v>2018</v>
      </c>
      <c r="BG15">
        <f>BA6</f>
        <v>13</v>
      </c>
      <c r="BH15">
        <f t="shared" si="3"/>
        <v>1</v>
      </c>
    </row>
    <row r="16" spans="1:60" x14ac:dyDescent="0.2">
      <c r="A16" s="308" t="s">
        <v>241</v>
      </c>
      <c r="B16" s="309">
        <v>9.3779285246615259E-11</v>
      </c>
      <c r="C16" s="321">
        <v>2</v>
      </c>
      <c r="E16" s="308" t="s">
        <v>241</v>
      </c>
      <c r="F16" s="308">
        <v>0.65789473684210531</v>
      </c>
      <c r="G16" s="321">
        <v>2</v>
      </c>
      <c r="I16" s="308" t="s">
        <v>241</v>
      </c>
      <c r="J16" s="327">
        <v>0</v>
      </c>
      <c r="K16" s="321">
        <v>2</v>
      </c>
      <c r="M16" s="317" t="s">
        <v>241</v>
      </c>
      <c r="N16" s="336">
        <v>0.94180332309612358</v>
      </c>
      <c r="O16" s="319">
        <v>2</v>
      </c>
      <c r="R16" s="308" t="s">
        <v>241</v>
      </c>
      <c r="S16" s="309">
        <v>1.2659529835622618E-10</v>
      </c>
      <c r="T16" s="321">
        <v>2</v>
      </c>
      <c r="V16" s="316" t="s">
        <v>241</v>
      </c>
      <c r="W16" s="337">
        <v>0.81967213114754101</v>
      </c>
      <c r="X16" s="316">
        <v>3</v>
      </c>
      <c r="Z16" s="310" t="s">
        <v>241</v>
      </c>
      <c r="AA16" s="341">
        <v>0</v>
      </c>
      <c r="AB16" s="310">
        <v>2</v>
      </c>
      <c r="AD16" s="319" t="s">
        <v>241</v>
      </c>
      <c r="AE16" s="336">
        <v>0.9140693873667225</v>
      </c>
      <c r="AF16" s="324">
        <v>2</v>
      </c>
      <c r="AI16" s="310" t="s">
        <v>241</v>
      </c>
      <c r="AJ16" s="309">
        <v>1.1986374437127056E-10</v>
      </c>
      <c r="AK16" s="321">
        <v>2</v>
      </c>
      <c r="AM16" s="316" t="s">
        <v>241</v>
      </c>
      <c r="AN16" s="337">
        <v>1.0638297872340425</v>
      </c>
      <c r="AO16" s="322">
        <v>3</v>
      </c>
      <c r="AQ16" s="310" t="s">
        <v>241</v>
      </c>
      <c r="AR16" s="327">
        <v>0</v>
      </c>
      <c r="AS16" s="321">
        <v>2</v>
      </c>
      <c r="AU16" s="319" t="s">
        <v>241</v>
      </c>
      <c r="AV16" s="336">
        <v>0.90142503613310421</v>
      </c>
      <c r="AW16" s="357">
        <v>2</v>
      </c>
      <c r="AZ16" s="307">
        <f t="shared" si="0"/>
        <v>8</v>
      </c>
      <c r="BA16" s="307">
        <f t="shared" si="1"/>
        <v>9</v>
      </c>
      <c r="BB16" s="307">
        <f t="shared" si="2"/>
        <v>9</v>
      </c>
      <c r="BE16" t="s">
        <v>723</v>
      </c>
      <c r="BF16">
        <v>2019</v>
      </c>
      <c r="BG16">
        <f>BB6</f>
        <v>13</v>
      </c>
      <c r="BH16">
        <f t="shared" si="3"/>
        <v>1</v>
      </c>
    </row>
    <row r="17" spans="1:60" x14ac:dyDescent="0.2">
      <c r="A17" s="311" t="s">
        <v>735</v>
      </c>
      <c r="B17" s="312">
        <v>1.0538819223684009E-9</v>
      </c>
      <c r="C17" s="323">
        <v>4</v>
      </c>
      <c r="E17" s="308" t="s">
        <v>735</v>
      </c>
      <c r="F17" s="308">
        <v>0.29447852760736198</v>
      </c>
      <c r="G17" s="321">
        <v>2</v>
      </c>
      <c r="I17" s="317" t="s">
        <v>735</v>
      </c>
      <c r="J17" s="330">
        <v>0.19664360109508877</v>
      </c>
      <c r="K17" s="324">
        <v>5</v>
      </c>
      <c r="M17" s="314" t="s">
        <v>735</v>
      </c>
      <c r="N17" s="337">
        <v>0.22648598481797344</v>
      </c>
      <c r="O17" s="316">
        <v>4</v>
      </c>
      <c r="R17" s="317" t="s">
        <v>735</v>
      </c>
      <c r="S17" s="318">
        <v>9.4167732649203093E-10</v>
      </c>
      <c r="T17" s="324">
        <v>5</v>
      </c>
      <c r="V17" s="310" t="s">
        <v>735</v>
      </c>
      <c r="W17" s="334">
        <v>0.18674698795180722</v>
      </c>
      <c r="X17" s="310">
        <v>2</v>
      </c>
      <c r="Z17" s="319" t="s">
        <v>735</v>
      </c>
      <c r="AA17" s="343">
        <v>0.18857572306007986</v>
      </c>
      <c r="AB17" s="319">
        <v>5</v>
      </c>
      <c r="AD17" s="316" t="s">
        <v>735</v>
      </c>
      <c r="AE17" s="337">
        <v>0.25187339691222782</v>
      </c>
      <c r="AF17" s="322">
        <v>4</v>
      </c>
      <c r="AI17" s="313" t="s">
        <v>735</v>
      </c>
      <c r="AJ17" s="312">
        <v>8.7177755443348988E-10</v>
      </c>
      <c r="AK17" s="323">
        <v>4</v>
      </c>
      <c r="AM17" s="310" t="s">
        <v>735</v>
      </c>
      <c r="AN17" s="334">
        <v>0.1641025641025641</v>
      </c>
      <c r="AO17" s="321">
        <v>2</v>
      </c>
      <c r="AQ17" s="319" t="s">
        <v>735</v>
      </c>
      <c r="AR17" s="330">
        <v>0.18916251486781546</v>
      </c>
      <c r="AS17" s="324">
        <v>5</v>
      </c>
      <c r="AU17" s="316" t="s">
        <v>735</v>
      </c>
      <c r="AV17" s="337">
        <v>0.25990377706446888</v>
      </c>
      <c r="AW17" s="322">
        <v>4</v>
      </c>
      <c r="AZ17" s="307">
        <f t="shared" si="0"/>
        <v>15</v>
      </c>
      <c r="BA17" s="307">
        <f t="shared" si="1"/>
        <v>16</v>
      </c>
      <c r="BB17" s="307">
        <f t="shared" si="2"/>
        <v>15</v>
      </c>
      <c r="BE17" t="s">
        <v>402</v>
      </c>
      <c r="BF17">
        <v>2017</v>
      </c>
      <c r="BG17">
        <f>AZ7</f>
        <v>11</v>
      </c>
      <c r="BH17">
        <f t="shared" si="3"/>
        <v>0</v>
      </c>
    </row>
    <row r="18" spans="1:60" x14ac:dyDescent="0.2">
      <c r="A18" s="314" t="s">
        <v>24</v>
      </c>
      <c r="B18" s="315">
        <v>2.6966311588588448E-10</v>
      </c>
      <c r="C18" s="322">
        <v>3</v>
      </c>
      <c r="E18" s="311" t="s">
        <v>24</v>
      </c>
      <c r="F18" s="311">
        <v>2.4488403819918143</v>
      </c>
      <c r="G18" s="323">
        <v>4</v>
      </c>
      <c r="I18" s="308" t="s">
        <v>24</v>
      </c>
      <c r="J18" s="327">
        <v>0</v>
      </c>
      <c r="K18" s="321">
        <v>2</v>
      </c>
      <c r="M18" s="314" t="s">
        <v>24</v>
      </c>
      <c r="N18" s="337">
        <v>0.19535254063552496</v>
      </c>
      <c r="O18" s="316">
        <v>4</v>
      </c>
      <c r="R18" s="314" t="s">
        <v>24</v>
      </c>
      <c r="S18" s="315">
        <v>3.0984964347428846E-10</v>
      </c>
      <c r="T18" s="322">
        <v>3</v>
      </c>
      <c r="V18" s="313" t="s">
        <v>24</v>
      </c>
      <c r="W18" s="335">
        <v>2.1781534460338103</v>
      </c>
      <c r="X18" s="313">
        <v>4</v>
      </c>
      <c r="Z18" s="310" t="s">
        <v>24</v>
      </c>
      <c r="AA18" s="341">
        <v>0</v>
      </c>
      <c r="AB18" s="310">
        <v>2</v>
      </c>
      <c r="AD18" s="316" t="s">
        <v>24</v>
      </c>
      <c r="AE18" s="337">
        <v>0.18038415774264832</v>
      </c>
      <c r="AF18" s="322">
        <v>4</v>
      </c>
      <c r="AI18" s="316" t="s">
        <v>24</v>
      </c>
      <c r="AJ18" s="315">
        <v>3.1904453861759102E-10</v>
      </c>
      <c r="AK18" s="322">
        <v>3</v>
      </c>
      <c r="AM18" s="313" t="s">
        <v>24</v>
      </c>
      <c r="AN18" s="335">
        <v>1.3601036269430051</v>
      </c>
      <c r="AO18" s="323">
        <v>4</v>
      </c>
      <c r="AQ18" s="310" t="s">
        <v>24</v>
      </c>
      <c r="AR18" s="327">
        <v>0</v>
      </c>
      <c r="AS18" s="321">
        <v>2</v>
      </c>
      <c r="AU18" s="310" t="s">
        <v>24</v>
      </c>
      <c r="AV18" s="334">
        <v>0.1635320782739261</v>
      </c>
      <c r="AW18" s="321">
        <v>5</v>
      </c>
      <c r="AZ18" s="307">
        <f t="shared" si="0"/>
        <v>13</v>
      </c>
      <c r="BA18" s="307">
        <f t="shared" si="1"/>
        <v>13</v>
      </c>
      <c r="BB18" s="307">
        <f t="shared" si="2"/>
        <v>14</v>
      </c>
      <c r="BE18" t="s">
        <v>402</v>
      </c>
      <c r="BF18">
        <v>2018</v>
      </c>
      <c r="BG18">
        <f>BA7</f>
        <v>10</v>
      </c>
      <c r="BH18">
        <f t="shared" si="3"/>
        <v>0</v>
      </c>
    </row>
    <row r="19" spans="1:60" x14ac:dyDescent="0.2">
      <c r="A19" s="308" t="s">
        <v>236</v>
      </c>
      <c r="B19" s="309">
        <v>1.9265651427935383E-10</v>
      </c>
      <c r="C19" s="321">
        <v>2</v>
      </c>
      <c r="E19" s="317" t="s">
        <v>236</v>
      </c>
      <c r="F19" s="317">
        <v>13.066666666666666</v>
      </c>
      <c r="G19" s="324">
        <v>5</v>
      </c>
      <c r="I19" s="308" t="s">
        <v>236</v>
      </c>
      <c r="J19" s="327">
        <v>0</v>
      </c>
      <c r="K19" s="321">
        <v>2</v>
      </c>
      <c r="M19" s="311" t="s">
        <v>236</v>
      </c>
      <c r="N19" s="335">
        <v>0.38025851693779616</v>
      </c>
      <c r="O19" s="313">
        <v>3</v>
      </c>
      <c r="R19" s="308" t="s">
        <v>236</v>
      </c>
      <c r="S19" s="309">
        <v>1.8807591897437722E-10</v>
      </c>
      <c r="T19" s="321">
        <v>2</v>
      </c>
      <c r="V19" s="319" t="s">
        <v>236</v>
      </c>
      <c r="W19" s="336">
        <v>12.25</v>
      </c>
      <c r="X19" s="319">
        <v>5</v>
      </c>
      <c r="Z19" s="310" t="s">
        <v>236</v>
      </c>
      <c r="AA19" s="341">
        <v>0</v>
      </c>
      <c r="AB19" s="310">
        <v>2</v>
      </c>
      <c r="AD19" s="313" t="s">
        <v>236</v>
      </c>
      <c r="AE19" s="335">
        <v>0.36363350315836207</v>
      </c>
      <c r="AF19" s="323">
        <v>3</v>
      </c>
      <c r="AI19" s="316" t="s">
        <v>236</v>
      </c>
      <c r="AJ19" s="315">
        <v>2.358275974375186E-10</v>
      </c>
      <c r="AK19" s="322">
        <v>3</v>
      </c>
      <c r="AM19" s="319" t="s">
        <v>236</v>
      </c>
      <c r="AN19" s="336">
        <v>3.125</v>
      </c>
      <c r="AO19" s="324">
        <v>5</v>
      </c>
      <c r="AQ19" s="310" t="s">
        <v>236</v>
      </c>
      <c r="AR19" s="327">
        <v>0</v>
      </c>
      <c r="AS19" s="321">
        <v>2</v>
      </c>
      <c r="AU19" s="354" t="s">
        <v>236</v>
      </c>
      <c r="AV19" s="355">
        <v>0.30056709403812154</v>
      </c>
      <c r="AW19" s="356">
        <v>3</v>
      </c>
      <c r="AZ19" s="307">
        <f t="shared" si="0"/>
        <v>12</v>
      </c>
      <c r="BA19" s="307">
        <f t="shared" si="1"/>
        <v>12</v>
      </c>
      <c r="BB19" s="307">
        <f t="shared" si="2"/>
        <v>13</v>
      </c>
      <c r="BE19" t="s">
        <v>402</v>
      </c>
      <c r="BF19">
        <v>2019</v>
      </c>
      <c r="BG19">
        <f>BB7</f>
        <v>10</v>
      </c>
      <c r="BH19">
        <f t="shared" si="3"/>
        <v>0</v>
      </c>
    </row>
    <row r="20" spans="1:60" x14ac:dyDescent="0.2">
      <c r="A20" s="308" t="s">
        <v>739</v>
      </c>
      <c r="B20" s="309">
        <v>1.8645935483360542E-11</v>
      </c>
      <c r="C20" s="321">
        <v>2</v>
      </c>
      <c r="E20" s="314" t="s">
        <v>739</v>
      </c>
      <c r="F20" s="314">
        <v>1.1382113821138211</v>
      </c>
      <c r="G20" s="322">
        <v>3</v>
      </c>
      <c r="I20" s="308" t="s">
        <v>739</v>
      </c>
      <c r="J20" s="327">
        <v>0</v>
      </c>
      <c r="K20" s="321">
        <v>2</v>
      </c>
      <c r="M20" s="308" t="s">
        <v>739</v>
      </c>
      <c r="N20" s="334">
        <v>5.0954775726845501E-2</v>
      </c>
      <c r="O20" s="310">
        <v>5</v>
      </c>
      <c r="R20" s="308" t="s">
        <v>739</v>
      </c>
      <c r="S20" s="309">
        <v>1.7630645496682271E-11</v>
      </c>
      <c r="T20" s="321">
        <v>2</v>
      </c>
      <c r="V20" s="313" t="s">
        <v>739</v>
      </c>
      <c r="W20" s="335">
        <v>1.3385826771653544</v>
      </c>
      <c r="X20" s="313">
        <v>4</v>
      </c>
      <c r="Z20" s="310" t="s">
        <v>739</v>
      </c>
      <c r="AA20" s="341">
        <v>0</v>
      </c>
      <c r="AB20" s="310">
        <v>2</v>
      </c>
      <c r="AD20" s="310" t="s">
        <v>739</v>
      </c>
      <c r="AE20" s="334">
        <v>4.0558068368666746E-2</v>
      </c>
      <c r="AF20" s="321">
        <v>5</v>
      </c>
      <c r="AI20" s="310" t="s">
        <v>739</v>
      </c>
      <c r="AJ20" s="309">
        <v>2.0275161736666156E-11</v>
      </c>
      <c r="AK20" s="321">
        <v>2</v>
      </c>
      <c r="AM20" s="316" t="s">
        <v>739</v>
      </c>
      <c r="AN20" s="337">
        <v>0.80769230769230771</v>
      </c>
      <c r="AO20" s="322">
        <v>3</v>
      </c>
      <c r="AQ20" s="310" t="s">
        <v>739</v>
      </c>
      <c r="AR20" s="327">
        <v>0</v>
      </c>
      <c r="AS20" s="321">
        <v>2</v>
      </c>
      <c r="AU20" s="310" t="s">
        <v>739</v>
      </c>
      <c r="AV20" s="334">
        <v>3.613355602123481E-2</v>
      </c>
      <c r="AW20" s="321">
        <v>5</v>
      </c>
      <c r="AZ20" s="307">
        <f t="shared" si="0"/>
        <v>12</v>
      </c>
      <c r="BA20" s="307">
        <f t="shared" si="1"/>
        <v>13</v>
      </c>
      <c r="BB20" s="307">
        <f t="shared" si="2"/>
        <v>12</v>
      </c>
      <c r="BE20" t="s">
        <v>727</v>
      </c>
      <c r="BF20">
        <v>2017</v>
      </c>
      <c r="BG20">
        <f>AZ8</f>
        <v>16</v>
      </c>
      <c r="BH20">
        <f t="shared" si="3"/>
        <v>1</v>
      </c>
    </row>
    <row r="21" spans="1:60" x14ac:dyDescent="0.2">
      <c r="A21" s="317" t="s">
        <v>743</v>
      </c>
      <c r="B21" s="318">
        <v>1.0609957107701683E-9</v>
      </c>
      <c r="C21" s="324">
        <v>5</v>
      </c>
      <c r="E21" s="308" t="s">
        <v>743</v>
      </c>
      <c r="F21" s="308">
        <v>0.6933019976498237</v>
      </c>
      <c r="G21" s="321">
        <v>2</v>
      </c>
      <c r="I21" s="317" t="s">
        <v>743</v>
      </c>
      <c r="J21" s="330">
        <v>4.1542645286695074E-2</v>
      </c>
      <c r="K21" s="324">
        <v>5</v>
      </c>
      <c r="M21" s="311" t="s">
        <v>743</v>
      </c>
      <c r="N21" s="335">
        <v>0.41112855606412396</v>
      </c>
      <c r="O21" s="313">
        <v>3</v>
      </c>
      <c r="R21" s="317" t="s">
        <v>743</v>
      </c>
      <c r="S21" s="318">
        <v>9.5560441123960427E-10</v>
      </c>
      <c r="T21" s="324">
        <v>5</v>
      </c>
      <c r="V21" s="310" t="s">
        <v>743</v>
      </c>
      <c r="W21" s="334">
        <v>0.28074245939675174</v>
      </c>
      <c r="X21" s="310">
        <v>2</v>
      </c>
      <c r="Z21" s="319" t="s">
        <v>743</v>
      </c>
      <c r="AA21" s="343">
        <v>2.4497367128576333E-2</v>
      </c>
      <c r="AB21" s="319">
        <v>5</v>
      </c>
      <c r="AD21" s="313" t="s">
        <v>743</v>
      </c>
      <c r="AE21" s="335">
        <v>0.43958108215495345</v>
      </c>
      <c r="AF21" s="323">
        <v>3</v>
      </c>
      <c r="AI21" s="313" t="s">
        <v>743</v>
      </c>
      <c r="AJ21" s="312">
        <v>8.7318806326562903E-10</v>
      </c>
      <c r="AK21" s="323">
        <v>4</v>
      </c>
      <c r="AM21" s="310" t="s">
        <v>743</v>
      </c>
      <c r="AN21" s="334">
        <v>0.33237822349570201</v>
      </c>
      <c r="AO21" s="321">
        <v>2</v>
      </c>
      <c r="AQ21" s="319" t="s">
        <v>743</v>
      </c>
      <c r="AR21" s="330">
        <v>2.7853895291486425E-2</v>
      </c>
      <c r="AS21" s="324">
        <v>5</v>
      </c>
      <c r="AU21" s="354" t="s">
        <v>743</v>
      </c>
      <c r="AV21" s="355">
        <v>0.44955400622381986</v>
      </c>
      <c r="AW21" s="356">
        <v>3</v>
      </c>
      <c r="AZ21" s="307">
        <f t="shared" si="0"/>
        <v>15</v>
      </c>
      <c r="BA21" s="307">
        <f t="shared" si="1"/>
        <v>15</v>
      </c>
      <c r="BB21" s="307">
        <f t="shared" si="2"/>
        <v>14</v>
      </c>
      <c r="BE21" t="s">
        <v>727</v>
      </c>
      <c r="BF21">
        <v>2018</v>
      </c>
      <c r="BG21">
        <f>BA8</f>
        <v>16</v>
      </c>
      <c r="BH21">
        <f t="shared" si="3"/>
        <v>1</v>
      </c>
    </row>
    <row r="22" spans="1:60" x14ac:dyDescent="0.2">
      <c r="A22" s="311" t="s">
        <v>526</v>
      </c>
      <c r="B22" s="312">
        <v>4.8525486200440286E-10</v>
      </c>
      <c r="C22" s="323">
        <v>4</v>
      </c>
      <c r="E22" s="314" t="s">
        <v>526</v>
      </c>
      <c r="F22" s="314">
        <v>1.1361885687875519</v>
      </c>
      <c r="G22" s="322">
        <v>3</v>
      </c>
      <c r="I22" s="308" t="s">
        <v>526</v>
      </c>
      <c r="J22" s="327">
        <v>0</v>
      </c>
      <c r="K22" s="321">
        <v>2</v>
      </c>
      <c r="M22" s="311" t="s">
        <v>526</v>
      </c>
      <c r="N22" s="335">
        <v>0.55863363568850821</v>
      </c>
      <c r="O22" s="313">
        <v>3</v>
      </c>
      <c r="R22" s="314" t="s">
        <v>526</v>
      </c>
      <c r="S22" s="315">
        <v>3.8154761958008185E-10</v>
      </c>
      <c r="T22" s="322">
        <v>3</v>
      </c>
      <c r="V22" s="316" t="s">
        <v>526</v>
      </c>
      <c r="W22" s="337">
        <v>0.85662126105884007</v>
      </c>
      <c r="X22" s="316">
        <v>3</v>
      </c>
      <c r="Z22" s="310" t="s">
        <v>526</v>
      </c>
      <c r="AA22" s="341">
        <v>0</v>
      </c>
      <c r="AB22" s="310">
        <v>2</v>
      </c>
      <c r="AD22" s="319" t="s">
        <v>526</v>
      </c>
      <c r="AE22" s="336">
        <v>0.57761548687716247</v>
      </c>
      <c r="AF22" s="324">
        <v>2</v>
      </c>
      <c r="AI22" s="316" t="s">
        <v>526</v>
      </c>
      <c r="AJ22" s="315">
        <v>4.2106293331973379E-10</v>
      </c>
      <c r="AK22" s="322">
        <v>3</v>
      </c>
      <c r="AM22" s="313" t="s">
        <v>526</v>
      </c>
      <c r="AN22" s="335">
        <v>1.5794091839719215</v>
      </c>
      <c r="AO22" s="323">
        <v>4</v>
      </c>
      <c r="AQ22" s="310" t="s">
        <v>526</v>
      </c>
      <c r="AR22" s="327">
        <v>0</v>
      </c>
      <c r="AS22" s="321">
        <v>2</v>
      </c>
      <c r="AU22" s="354" t="s">
        <v>526</v>
      </c>
      <c r="AV22" s="355">
        <v>0.55481507926433848</v>
      </c>
      <c r="AW22" s="356">
        <v>3</v>
      </c>
      <c r="AZ22" s="307">
        <f t="shared" si="0"/>
        <v>12</v>
      </c>
      <c r="BA22" s="307">
        <f t="shared" si="1"/>
        <v>10</v>
      </c>
      <c r="BB22" s="307">
        <f t="shared" si="2"/>
        <v>12</v>
      </c>
      <c r="BE22" t="s">
        <v>727</v>
      </c>
      <c r="BF22">
        <v>2019</v>
      </c>
      <c r="BG22">
        <f>BB8</f>
        <v>16</v>
      </c>
      <c r="BH22">
        <f t="shared" si="3"/>
        <v>1</v>
      </c>
    </row>
    <row r="23" spans="1:60" x14ac:dyDescent="0.2">
      <c r="A23" s="308" t="s">
        <v>412</v>
      </c>
      <c r="B23" s="309">
        <v>9.323167221156869E-11</v>
      </c>
      <c r="C23" s="321">
        <v>2</v>
      </c>
      <c r="E23" s="311" t="s">
        <v>412</v>
      </c>
      <c r="F23" s="311">
        <v>1.5758620689655172</v>
      </c>
      <c r="G23" s="323">
        <v>4</v>
      </c>
      <c r="I23" s="308" t="s">
        <v>412</v>
      </c>
      <c r="J23" s="327">
        <v>0</v>
      </c>
      <c r="K23" s="321">
        <v>2</v>
      </c>
      <c r="M23" s="311" t="s">
        <v>412</v>
      </c>
      <c r="N23" s="335">
        <v>0.46809956167127104</v>
      </c>
      <c r="O23" s="313">
        <v>3</v>
      </c>
      <c r="R23" s="308" t="s">
        <v>412</v>
      </c>
      <c r="S23" s="309">
        <v>7.3168596805142435E-11</v>
      </c>
      <c r="T23" s="321">
        <v>2</v>
      </c>
      <c r="V23" s="313" t="s">
        <v>412</v>
      </c>
      <c r="W23" s="335">
        <v>1.138095238095238</v>
      </c>
      <c r="X23" s="313">
        <v>4</v>
      </c>
      <c r="Z23" s="310" t="s">
        <v>412</v>
      </c>
      <c r="AA23" s="341">
        <v>0</v>
      </c>
      <c r="AB23" s="310">
        <v>2</v>
      </c>
      <c r="AD23" s="313" t="s">
        <v>412</v>
      </c>
      <c r="AE23" s="335">
        <v>0.33432176200154179</v>
      </c>
      <c r="AF23" s="323">
        <v>3</v>
      </c>
      <c r="AI23" s="310" t="s">
        <v>412</v>
      </c>
      <c r="AJ23" s="309">
        <v>1.0107938974260027E-10</v>
      </c>
      <c r="AK23" s="321">
        <v>2</v>
      </c>
      <c r="AM23" s="319" t="s">
        <v>412</v>
      </c>
      <c r="AN23" s="336">
        <v>3.6739659367396595</v>
      </c>
      <c r="AO23" s="324">
        <v>5</v>
      </c>
      <c r="AQ23" s="310" t="s">
        <v>412</v>
      </c>
      <c r="AR23" s="327">
        <v>0</v>
      </c>
      <c r="AS23" s="321">
        <v>2</v>
      </c>
      <c r="AU23" s="354" t="s">
        <v>412</v>
      </c>
      <c r="AV23" s="355">
        <v>0.35989786193679441</v>
      </c>
      <c r="AW23" s="356">
        <v>3</v>
      </c>
      <c r="AZ23" s="307">
        <f t="shared" si="0"/>
        <v>11</v>
      </c>
      <c r="BA23" s="307">
        <f t="shared" si="1"/>
        <v>11</v>
      </c>
      <c r="BB23" s="307">
        <f t="shared" si="2"/>
        <v>12</v>
      </c>
      <c r="BE23" t="s">
        <v>345</v>
      </c>
      <c r="BF23">
        <v>2017</v>
      </c>
      <c r="BG23">
        <f>AZ9</f>
        <v>11</v>
      </c>
      <c r="BH23">
        <f t="shared" si="3"/>
        <v>0</v>
      </c>
    </row>
    <row r="24" spans="1:60" x14ac:dyDescent="0.2">
      <c r="A24" s="314" t="s">
        <v>615</v>
      </c>
      <c r="B24" s="315">
        <v>3.9865305744611274E-10</v>
      </c>
      <c r="C24" s="322">
        <v>3</v>
      </c>
      <c r="E24" s="311" t="s">
        <v>615</v>
      </c>
      <c r="F24" s="311">
        <v>1.2327773749093547</v>
      </c>
      <c r="G24" s="323">
        <v>4</v>
      </c>
      <c r="I24" s="317" t="s">
        <v>615</v>
      </c>
      <c r="J24" s="330">
        <v>3.6718032430465744E-2</v>
      </c>
      <c r="K24" s="324">
        <v>5</v>
      </c>
      <c r="M24" s="308" t="s">
        <v>615</v>
      </c>
      <c r="N24" s="334">
        <v>1.6799064952114116E-2</v>
      </c>
      <c r="O24" s="310">
        <v>5</v>
      </c>
      <c r="R24" s="311" t="s">
        <v>615</v>
      </c>
      <c r="S24" s="312">
        <v>6.0161880247317053E-10</v>
      </c>
      <c r="T24" s="323">
        <v>4</v>
      </c>
      <c r="V24" s="316" t="s">
        <v>615</v>
      </c>
      <c r="W24" s="337">
        <v>0.8776223776223776</v>
      </c>
      <c r="X24" s="316">
        <v>3</v>
      </c>
      <c r="Z24" s="319" t="s">
        <v>615</v>
      </c>
      <c r="AA24" s="343">
        <v>5.5408221431785774E-2</v>
      </c>
      <c r="AB24" s="319">
        <v>5</v>
      </c>
      <c r="AD24" s="310" t="s">
        <v>615</v>
      </c>
      <c r="AE24" s="334">
        <v>1.298496563910107E-2</v>
      </c>
      <c r="AF24" s="321">
        <v>5</v>
      </c>
      <c r="AI24" s="313" t="s">
        <v>615</v>
      </c>
      <c r="AJ24" s="312">
        <v>5.5272761462733584E-10</v>
      </c>
      <c r="AK24" s="323">
        <v>4</v>
      </c>
      <c r="AM24" s="316" t="s">
        <v>615</v>
      </c>
      <c r="AN24" s="337">
        <v>0.79229797979797978</v>
      </c>
      <c r="AO24" s="322">
        <v>3</v>
      </c>
      <c r="AQ24" s="319" t="s">
        <v>615</v>
      </c>
      <c r="AR24" s="330">
        <v>3.7476621498645113E-2</v>
      </c>
      <c r="AS24" s="324">
        <v>5</v>
      </c>
      <c r="AU24" s="310" t="s">
        <v>615</v>
      </c>
      <c r="AV24" s="334">
        <v>0.15156516588434035</v>
      </c>
      <c r="AW24" s="321">
        <v>5</v>
      </c>
      <c r="AZ24" s="307">
        <f t="shared" si="0"/>
        <v>17</v>
      </c>
      <c r="BA24" s="307">
        <f t="shared" si="1"/>
        <v>17</v>
      </c>
      <c r="BB24" s="307">
        <f t="shared" si="2"/>
        <v>17</v>
      </c>
      <c r="BE24" t="s">
        <v>345</v>
      </c>
      <c r="BF24">
        <v>2018</v>
      </c>
      <c r="BG24">
        <f>BA9</f>
        <v>9</v>
      </c>
      <c r="BH24">
        <f t="shared" si="3"/>
        <v>0</v>
      </c>
    </row>
    <row r="25" spans="1:60" x14ac:dyDescent="0.2">
      <c r="A25" s="317" t="s">
        <v>247</v>
      </c>
      <c r="B25" s="318">
        <v>1.2704865963664083E-9</v>
      </c>
      <c r="C25" s="324">
        <v>5</v>
      </c>
      <c r="E25" s="308" t="s">
        <v>247</v>
      </c>
      <c r="F25" s="308">
        <v>-0.13020833333333334</v>
      </c>
      <c r="G25" s="321">
        <v>2</v>
      </c>
      <c r="I25" s="314" t="s">
        <v>247</v>
      </c>
      <c r="J25" s="328">
        <v>1.2704865963664082E-4</v>
      </c>
      <c r="K25" s="322">
        <v>3</v>
      </c>
      <c r="M25" s="308" t="s">
        <v>247</v>
      </c>
      <c r="N25" s="334">
        <v>3.4413987315151905E-3</v>
      </c>
      <c r="O25" s="310">
        <v>5</v>
      </c>
      <c r="R25" s="311" t="s">
        <v>247</v>
      </c>
      <c r="S25" s="312">
        <v>7.0372976776917662E-10</v>
      </c>
      <c r="T25" s="323">
        <v>4</v>
      </c>
      <c r="V25" s="310" t="s">
        <v>247</v>
      </c>
      <c r="W25" s="334">
        <v>-0.11961722488038277</v>
      </c>
      <c r="X25" s="310">
        <v>2</v>
      </c>
      <c r="Z25" s="310" t="s">
        <v>247</v>
      </c>
      <c r="AA25" s="341">
        <v>0</v>
      </c>
      <c r="AB25" s="310">
        <v>2</v>
      </c>
      <c r="AD25" s="310" t="s">
        <v>247</v>
      </c>
      <c r="AE25" s="334">
        <v>1.0147090770211841E-3</v>
      </c>
      <c r="AF25" s="321">
        <v>5</v>
      </c>
      <c r="AI25" s="319" t="s">
        <v>247</v>
      </c>
      <c r="AJ25" s="318">
        <v>6.5206812652068125E-9</v>
      </c>
      <c r="AK25" s="324">
        <v>5</v>
      </c>
      <c r="AM25" s="310" t="s">
        <v>247</v>
      </c>
      <c r="AN25" s="334">
        <v>-0.12106537530266344</v>
      </c>
      <c r="AO25" s="321">
        <v>2</v>
      </c>
      <c r="AQ25" s="313" t="s">
        <v>247</v>
      </c>
      <c r="AR25" s="329">
        <v>1.5571776155717761E-3</v>
      </c>
      <c r="AS25" s="323">
        <v>4</v>
      </c>
      <c r="AU25" s="310" t="s">
        <v>247</v>
      </c>
      <c r="AV25" s="334">
        <v>2.7109778656630733E-2</v>
      </c>
      <c r="AW25" s="321">
        <v>5</v>
      </c>
      <c r="AZ25" s="307">
        <f t="shared" si="0"/>
        <v>15</v>
      </c>
      <c r="BA25" s="307">
        <f t="shared" si="1"/>
        <v>13</v>
      </c>
      <c r="BB25" s="307">
        <f t="shared" si="2"/>
        <v>16</v>
      </c>
      <c r="BE25" t="s">
        <v>345</v>
      </c>
      <c r="BF25">
        <v>2019</v>
      </c>
      <c r="BG25">
        <f>BB9</f>
        <v>9</v>
      </c>
      <c r="BH25">
        <f t="shared" si="3"/>
        <v>0</v>
      </c>
    </row>
    <row r="26" spans="1:60" x14ac:dyDescent="0.2">
      <c r="A26" s="311" t="s">
        <v>136</v>
      </c>
      <c r="B26" s="312">
        <v>8.1495177604519752E-10</v>
      </c>
      <c r="C26" s="323">
        <v>4</v>
      </c>
      <c r="E26" s="308" t="s">
        <v>136</v>
      </c>
      <c r="F26" s="308">
        <v>0.35471698113207545</v>
      </c>
      <c r="G26" s="321">
        <v>2</v>
      </c>
      <c r="I26" s="314" t="s">
        <v>136</v>
      </c>
      <c r="J26" s="328">
        <v>8.4243548696754289E-4</v>
      </c>
      <c r="K26" s="322">
        <v>3</v>
      </c>
      <c r="M26" s="317" t="s">
        <v>136</v>
      </c>
      <c r="N26" s="336">
        <v>0.63407412800191598</v>
      </c>
      <c r="O26" s="319">
        <v>2</v>
      </c>
      <c r="R26" s="311" t="s">
        <v>136</v>
      </c>
      <c r="S26" s="312">
        <v>6.6145536045161799E-10</v>
      </c>
      <c r="T26" s="323">
        <v>4</v>
      </c>
      <c r="V26" s="310" t="s">
        <v>136</v>
      </c>
      <c r="W26" s="334">
        <v>0.35294117647058826</v>
      </c>
      <c r="X26" s="310">
        <v>2</v>
      </c>
      <c r="Z26" s="316" t="s">
        <v>136</v>
      </c>
      <c r="AA26" s="342">
        <v>5.3415070227218035E-4</v>
      </c>
      <c r="AB26" s="316">
        <v>3</v>
      </c>
      <c r="AD26" s="313" t="s">
        <v>136</v>
      </c>
      <c r="AE26" s="335">
        <v>0.55157030103330995</v>
      </c>
      <c r="AF26" s="323">
        <v>3</v>
      </c>
      <c r="AI26" s="313" t="s">
        <v>136</v>
      </c>
      <c r="AJ26" s="312">
        <v>5.6362541980605697E-10</v>
      </c>
      <c r="AK26" s="323">
        <v>4</v>
      </c>
      <c r="AM26" s="310" t="s">
        <v>136</v>
      </c>
      <c r="AN26" s="334">
        <v>0.36140350877192984</v>
      </c>
      <c r="AO26" s="321">
        <v>2</v>
      </c>
      <c r="AQ26" s="316" t="s">
        <v>136</v>
      </c>
      <c r="AR26" s="328">
        <v>6.6949245081510957E-4</v>
      </c>
      <c r="AS26" s="322">
        <v>3</v>
      </c>
      <c r="AU26" s="319" t="s">
        <v>136</v>
      </c>
      <c r="AV26" s="336">
        <v>0.60303616914247005</v>
      </c>
      <c r="AW26" s="357">
        <v>2</v>
      </c>
      <c r="AZ26" s="307">
        <f t="shared" si="0"/>
        <v>11</v>
      </c>
      <c r="BA26" s="307">
        <f t="shared" si="1"/>
        <v>12</v>
      </c>
      <c r="BB26" s="307">
        <f t="shared" si="2"/>
        <v>11</v>
      </c>
      <c r="BE26" t="s">
        <v>605</v>
      </c>
      <c r="BF26">
        <v>2017</v>
      </c>
      <c r="BG26">
        <f>AZ10</f>
        <v>14</v>
      </c>
      <c r="BH26">
        <f t="shared" si="3"/>
        <v>1</v>
      </c>
    </row>
    <row r="27" spans="1:60" x14ac:dyDescent="0.2">
      <c r="A27" s="308" t="s">
        <v>250</v>
      </c>
      <c r="B27" s="309">
        <v>1.7888985498557362E-10</v>
      </c>
      <c r="C27" s="321">
        <v>2</v>
      </c>
      <c r="E27" s="314" t="s">
        <v>250</v>
      </c>
      <c r="F27" s="314">
        <v>0.78048780487804881</v>
      </c>
      <c r="G27" s="322">
        <v>3</v>
      </c>
      <c r="I27" s="308" t="s">
        <v>250</v>
      </c>
      <c r="J27" s="327">
        <v>0</v>
      </c>
      <c r="K27" s="321">
        <v>2</v>
      </c>
      <c r="M27" s="317" t="s">
        <v>250</v>
      </c>
      <c r="N27" s="336">
        <v>0.73960190904878043</v>
      </c>
      <c r="O27" s="319">
        <v>2</v>
      </c>
      <c r="R27" s="308" t="s">
        <v>250</v>
      </c>
      <c r="S27" s="309">
        <v>1.4369085832099533E-10</v>
      </c>
      <c r="T27" s="321">
        <v>2</v>
      </c>
      <c r="V27" s="310" t="s">
        <v>250</v>
      </c>
      <c r="W27" s="334">
        <v>0.53669724770642202</v>
      </c>
      <c r="X27" s="310">
        <v>2</v>
      </c>
      <c r="Z27" s="310" t="s">
        <v>250</v>
      </c>
      <c r="AA27" s="341">
        <v>0</v>
      </c>
      <c r="AB27" s="310">
        <v>2</v>
      </c>
      <c r="AD27" s="319" t="s">
        <v>250</v>
      </c>
      <c r="AE27" s="336">
        <v>0.67579780103488729</v>
      </c>
      <c r="AF27" s="324">
        <v>2</v>
      </c>
      <c r="AI27" s="310" t="s">
        <v>250</v>
      </c>
      <c r="AJ27" s="309">
        <v>1.4150779561690653E-10</v>
      </c>
      <c r="AK27" s="321">
        <v>2</v>
      </c>
      <c r="AM27" s="316" t="s">
        <v>250</v>
      </c>
      <c r="AN27" s="337">
        <v>0.5311475409836065</v>
      </c>
      <c r="AO27" s="322">
        <v>3</v>
      </c>
      <c r="AQ27" s="310" t="s">
        <v>250</v>
      </c>
      <c r="AR27" s="327">
        <v>0</v>
      </c>
      <c r="AS27" s="321">
        <v>2</v>
      </c>
      <c r="AU27" s="319" t="s">
        <v>250</v>
      </c>
      <c r="AV27" s="336">
        <v>0.65070970865732036</v>
      </c>
      <c r="AW27" s="357">
        <v>2</v>
      </c>
      <c r="AZ27" s="307">
        <f t="shared" si="0"/>
        <v>9</v>
      </c>
      <c r="BA27" s="307">
        <f t="shared" si="1"/>
        <v>8</v>
      </c>
      <c r="BB27" s="307">
        <f t="shared" si="2"/>
        <v>9</v>
      </c>
      <c r="BE27" t="s">
        <v>605</v>
      </c>
      <c r="BF27">
        <v>2018</v>
      </c>
      <c r="BG27">
        <f>BA10</f>
        <v>15</v>
      </c>
      <c r="BH27">
        <f t="shared" si="3"/>
        <v>1</v>
      </c>
    </row>
    <row r="28" spans="1:60" x14ac:dyDescent="0.2">
      <c r="A28" s="314" t="s">
        <v>57</v>
      </c>
      <c r="B28" s="315">
        <v>3.6507445614740079E-10</v>
      </c>
      <c r="C28" s="322">
        <v>3</v>
      </c>
      <c r="E28" s="314" t="s">
        <v>57</v>
      </c>
      <c r="F28" s="314">
        <v>0.953125</v>
      </c>
      <c r="G28" s="322">
        <v>3</v>
      </c>
      <c r="I28" s="308" t="s">
        <v>57</v>
      </c>
      <c r="J28" s="327">
        <v>0</v>
      </c>
      <c r="K28" s="321">
        <v>2</v>
      </c>
      <c r="M28" s="317" t="s">
        <v>57</v>
      </c>
      <c r="N28" s="336">
        <v>0.92875208208941595</v>
      </c>
      <c r="O28" s="319">
        <v>2</v>
      </c>
      <c r="R28" s="314" t="s">
        <v>57</v>
      </c>
      <c r="S28" s="315">
        <v>3.2983188303519278E-10</v>
      </c>
      <c r="T28" s="322">
        <v>3</v>
      </c>
      <c r="V28" s="316" t="s">
        <v>57</v>
      </c>
      <c r="W28" s="337">
        <v>0.89617486338797814</v>
      </c>
      <c r="X28" s="316">
        <v>3</v>
      </c>
      <c r="Z28" s="310" t="s">
        <v>57</v>
      </c>
      <c r="AA28" s="341">
        <v>0</v>
      </c>
      <c r="AB28" s="310">
        <v>2</v>
      </c>
      <c r="AD28" s="319" t="s">
        <v>57</v>
      </c>
      <c r="AE28" s="336">
        <v>0.89155725757670157</v>
      </c>
      <c r="AF28" s="324">
        <v>2</v>
      </c>
      <c r="AI28" s="316" t="s">
        <v>57</v>
      </c>
      <c r="AJ28" s="315">
        <v>4.1746524969913848E-10</v>
      </c>
      <c r="AK28" s="322">
        <v>3</v>
      </c>
      <c r="AM28" s="316" t="s">
        <v>57</v>
      </c>
      <c r="AN28" s="337">
        <v>1.0753424657534247</v>
      </c>
      <c r="AO28" s="322">
        <v>3</v>
      </c>
      <c r="AQ28" s="310" t="s">
        <v>57</v>
      </c>
      <c r="AR28" s="327">
        <v>0</v>
      </c>
      <c r="AS28" s="321">
        <v>2</v>
      </c>
      <c r="AU28" s="319" t="s">
        <v>57</v>
      </c>
      <c r="AV28" s="336">
        <v>0.92875208208941595</v>
      </c>
      <c r="AW28" s="357">
        <v>2</v>
      </c>
      <c r="AZ28" s="307">
        <f t="shared" si="0"/>
        <v>10</v>
      </c>
      <c r="BA28" s="307">
        <f t="shared" si="1"/>
        <v>10</v>
      </c>
      <c r="BB28" s="307">
        <f t="shared" si="2"/>
        <v>10</v>
      </c>
      <c r="BE28" t="s">
        <v>605</v>
      </c>
      <c r="BF28">
        <v>2019</v>
      </c>
      <c r="BG28">
        <f>BB10</f>
        <v>15</v>
      </c>
      <c r="BH28">
        <f t="shared" si="3"/>
        <v>1</v>
      </c>
    </row>
    <row r="29" spans="1:60" x14ac:dyDescent="0.2">
      <c r="A29" s="308" t="s">
        <v>349</v>
      </c>
      <c r="B29" s="309">
        <v>1.7675620734728373E-11</v>
      </c>
      <c r="C29" s="321">
        <v>2</v>
      </c>
      <c r="E29" s="317" t="s">
        <v>349</v>
      </c>
      <c r="F29" s="317">
        <v>5.093704949543489</v>
      </c>
      <c r="G29" s="324">
        <v>5</v>
      </c>
      <c r="I29" s="308" t="s">
        <v>349</v>
      </c>
      <c r="J29" s="327">
        <v>0</v>
      </c>
      <c r="K29" s="321">
        <v>2</v>
      </c>
      <c r="M29" s="314" t="s">
        <v>349</v>
      </c>
      <c r="N29" s="337">
        <v>0.29192687115314248</v>
      </c>
      <c r="O29" s="316">
        <v>4</v>
      </c>
      <c r="R29" s="308" t="s">
        <v>349</v>
      </c>
      <c r="S29" s="309">
        <v>2.0154323933742708E-11</v>
      </c>
      <c r="T29" s="321">
        <v>2</v>
      </c>
      <c r="V29" s="319" t="s">
        <v>349</v>
      </c>
      <c r="W29" s="336">
        <v>6.7190669371196758</v>
      </c>
      <c r="X29" s="319">
        <v>5</v>
      </c>
      <c r="Z29" s="310" t="s">
        <v>349</v>
      </c>
      <c r="AA29" s="341">
        <v>0</v>
      </c>
      <c r="AB29" s="310">
        <v>2</v>
      </c>
      <c r="AD29" s="316" t="s">
        <v>349</v>
      </c>
      <c r="AE29" s="337">
        <v>0.23420192184373229</v>
      </c>
      <c r="AF29" s="322">
        <v>4</v>
      </c>
      <c r="AI29" s="310" t="s">
        <v>349</v>
      </c>
      <c r="AJ29" s="309">
        <v>3.0435776784376257E-11</v>
      </c>
      <c r="AK29" s="321">
        <v>2</v>
      </c>
      <c r="AM29" s="319" t="s">
        <v>349</v>
      </c>
      <c r="AN29" s="336">
        <v>6.1413673232908454</v>
      </c>
      <c r="AO29" s="324">
        <v>5</v>
      </c>
      <c r="AQ29" s="310" t="s">
        <v>349</v>
      </c>
      <c r="AR29" s="327">
        <v>0</v>
      </c>
      <c r="AS29" s="321">
        <v>2</v>
      </c>
      <c r="AU29" s="316" t="s">
        <v>349</v>
      </c>
      <c r="AV29" s="337">
        <v>0.25891705827141703</v>
      </c>
      <c r="AW29" s="322">
        <v>4</v>
      </c>
      <c r="AZ29" s="307">
        <f t="shared" si="0"/>
        <v>13</v>
      </c>
      <c r="BA29" s="307">
        <f t="shared" si="1"/>
        <v>13</v>
      </c>
      <c r="BB29" s="307">
        <f t="shared" si="2"/>
        <v>13</v>
      </c>
      <c r="BE29" t="s">
        <v>514</v>
      </c>
      <c r="BF29">
        <v>2017</v>
      </c>
      <c r="BG29">
        <f>AZ11</f>
        <v>16</v>
      </c>
      <c r="BH29">
        <f t="shared" si="3"/>
        <v>1</v>
      </c>
    </row>
    <row r="30" spans="1:60" x14ac:dyDescent="0.2">
      <c r="A30" s="308" t="s">
        <v>142</v>
      </c>
      <c r="B30" s="309">
        <v>9.0188723704086283E-11</v>
      </c>
      <c r="C30" s="321">
        <v>2</v>
      </c>
      <c r="E30" s="314" t="s">
        <v>142</v>
      </c>
      <c r="F30" s="314">
        <v>0.82113303628262257</v>
      </c>
      <c r="G30" s="322">
        <v>3</v>
      </c>
      <c r="I30" s="308" t="s">
        <v>142</v>
      </c>
      <c r="J30" s="327">
        <v>0</v>
      </c>
      <c r="K30" s="321">
        <v>2</v>
      </c>
      <c r="M30" s="308" t="s">
        <v>142</v>
      </c>
      <c r="N30" s="334">
        <v>0.15245386306048775</v>
      </c>
      <c r="O30" s="310">
        <v>5</v>
      </c>
      <c r="R30" s="308" t="s">
        <v>142</v>
      </c>
      <c r="S30" s="309">
        <v>1.0745792189311286E-10</v>
      </c>
      <c r="T30" s="321">
        <v>2</v>
      </c>
      <c r="V30" s="316" t="s">
        <v>142</v>
      </c>
      <c r="W30" s="337">
        <v>0.83790371724558199</v>
      </c>
      <c r="X30" s="316">
        <v>3</v>
      </c>
      <c r="Z30" s="310" t="s">
        <v>142</v>
      </c>
      <c r="AA30" s="341">
        <v>0</v>
      </c>
      <c r="AB30" s="310">
        <v>2</v>
      </c>
      <c r="AD30" s="310" t="s">
        <v>142</v>
      </c>
      <c r="AE30" s="334">
        <v>0.17111346421972118</v>
      </c>
      <c r="AF30" s="321">
        <v>5</v>
      </c>
      <c r="AI30" s="310" t="s">
        <v>142</v>
      </c>
      <c r="AJ30" s="309">
        <v>1.2400121749537382E-10</v>
      </c>
      <c r="AK30" s="321">
        <v>2</v>
      </c>
      <c r="AM30" s="316" t="s">
        <v>142</v>
      </c>
      <c r="AN30" s="337">
        <v>0.87848500789058392</v>
      </c>
      <c r="AO30" s="322">
        <v>3</v>
      </c>
      <c r="AQ30" s="310" t="s">
        <v>142</v>
      </c>
      <c r="AR30" s="327">
        <v>0</v>
      </c>
      <c r="AS30" s="321">
        <v>2</v>
      </c>
      <c r="AU30" s="310" t="s">
        <v>142</v>
      </c>
      <c r="AV30" s="334">
        <v>0.14018109181422936</v>
      </c>
      <c r="AW30" s="321">
        <v>5</v>
      </c>
      <c r="AZ30" s="307">
        <f t="shared" si="0"/>
        <v>12</v>
      </c>
      <c r="BA30" s="307">
        <f t="shared" si="1"/>
        <v>12</v>
      </c>
      <c r="BB30" s="307">
        <f t="shared" si="2"/>
        <v>12</v>
      </c>
      <c r="BE30" t="s">
        <v>514</v>
      </c>
      <c r="BF30">
        <v>2018</v>
      </c>
      <c r="BG30">
        <f>BA11</f>
        <v>17</v>
      </c>
      <c r="BH30">
        <f t="shared" si="3"/>
        <v>1</v>
      </c>
    </row>
    <row r="31" spans="1:60" x14ac:dyDescent="0.2">
      <c r="A31" s="308" t="s">
        <v>419</v>
      </c>
      <c r="B31" s="309">
        <v>1.2870845541629447E-10</v>
      </c>
      <c r="C31" s="321">
        <v>2</v>
      </c>
      <c r="E31" s="317" t="s">
        <v>419</v>
      </c>
      <c r="F31" s="317">
        <v>3.134796238244514</v>
      </c>
      <c r="G31" s="324">
        <v>5</v>
      </c>
      <c r="I31" s="311" t="s">
        <v>419</v>
      </c>
      <c r="J31" s="329">
        <v>5.7033605141661742E-3</v>
      </c>
      <c r="K31" s="323">
        <v>4</v>
      </c>
      <c r="M31" s="311" t="s">
        <v>419</v>
      </c>
      <c r="N31" s="335">
        <v>0.44894767041968198</v>
      </c>
      <c r="O31" s="313">
        <v>3</v>
      </c>
      <c r="R31" s="308" t="s">
        <v>419</v>
      </c>
      <c r="S31" s="309">
        <v>1.2120627150160337E-10</v>
      </c>
      <c r="T31" s="321">
        <v>2</v>
      </c>
      <c r="V31" s="319" t="s">
        <v>419</v>
      </c>
      <c r="W31" s="336">
        <v>6.112521150592217</v>
      </c>
      <c r="X31" s="319">
        <v>5</v>
      </c>
      <c r="Z31" s="313" t="s">
        <v>419</v>
      </c>
      <c r="AA31" s="340">
        <v>3.6093707941516453E-3</v>
      </c>
      <c r="AB31" s="313">
        <v>4</v>
      </c>
      <c r="AD31" s="313" t="s">
        <v>419</v>
      </c>
      <c r="AE31" s="335">
        <v>0.42268804929680531</v>
      </c>
      <c r="AF31" s="323">
        <v>3</v>
      </c>
      <c r="AI31" s="310" t="s">
        <v>419</v>
      </c>
      <c r="AJ31" s="309">
        <v>1.2011699186939458E-10</v>
      </c>
      <c r="AK31" s="321">
        <v>2</v>
      </c>
      <c r="AM31" s="319" t="s">
        <v>419</v>
      </c>
      <c r="AN31" s="336">
        <v>5.0583657587548636</v>
      </c>
      <c r="AO31" s="324">
        <v>5</v>
      </c>
      <c r="AQ31" s="313" t="s">
        <v>419</v>
      </c>
      <c r="AR31" s="329">
        <v>1.845364014518278E-3</v>
      </c>
      <c r="AS31" s="323">
        <v>4</v>
      </c>
      <c r="AU31" s="354" t="s">
        <v>419</v>
      </c>
      <c r="AV31" s="355">
        <v>0.4606670566092283</v>
      </c>
      <c r="AW31" s="356">
        <v>3</v>
      </c>
      <c r="AZ31" s="307">
        <f t="shared" si="0"/>
        <v>14</v>
      </c>
      <c r="BA31" s="307">
        <f t="shared" si="1"/>
        <v>14</v>
      </c>
      <c r="BB31" s="307">
        <f t="shared" si="2"/>
        <v>14</v>
      </c>
      <c r="BE31" t="s">
        <v>514</v>
      </c>
      <c r="BF31">
        <v>2019</v>
      </c>
      <c r="BG31">
        <f>BB11</f>
        <v>17</v>
      </c>
      <c r="BH31">
        <f t="shared" si="3"/>
        <v>1</v>
      </c>
    </row>
    <row r="32" spans="1:60" x14ac:dyDescent="0.2">
      <c r="A32" s="314" t="s">
        <v>423</v>
      </c>
      <c r="B32" s="315">
        <v>3.1677862147311946E-10</v>
      </c>
      <c r="C32" s="322">
        <v>3</v>
      </c>
      <c r="E32" s="308" t="s">
        <v>423</v>
      </c>
      <c r="F32" s="308">
        <v>-1.7241379310344827</v>
      </c>
      <c r="G32" s="321">
        <v>2</v>
      </c>
      <c r="I32" s="311" t="s">
        <v>423</v>
      </c>
      <c r="J32" s="329">
        <v>7.2875811526605296E-3</v>
      </c>
      <c r="K32" s="323">
        <v>4</v>
      </c>
      <c r="M32" s="317" t="s">
        <v>423</v>
      </c>
      <c r="N32" s="336">
        <v>0.61188038548955104</v>
      </c>
      <c r="O32" s="319">
        <v>2</v>
      </c>
      <c r="R32" s="314" t="s">
        <v>423</v>
      </c>
      <c r="S32" s="315">
        <v>2.84822030206019E-10</v>
      </c>
      <c r="T32" s="322">
        <v>3</v>
      </c>
      <c r="V32" s="319" t="s">
        <v>423</v>
      </c>
      <c r="W32" s="336">
        <v>4.5454545454545459</v>
      </c>
      <c r="X32" s="319">
        <v>5</v>
      </c>
      <c r="Z32" s="313" t="s">
        <v>423</v>
      </c>
      <c r="AA32" s="340">
        <v>5.8500144778894213E-3</v>
      </c>
      <c r="AB32" s="313">
        <v>4</v>
      </c>
      <c r="AD32" s="319" t="s">
        <v>423</v>
      </c>
      <c r="AE32" s="336">
        <v>0.6399901710780167</v>
      </c>
      <c r="AF32" s="324">
        <v>2</v>
      </c>
      <c r="AI32" s="316" t="s">
        <v>423</v>
      </c>
      <c r="AJ32" s="315">
        <v>2.5335281372129855E-10</v>
      </c>
      <c r="AK32" s="322">
        <v>3</v>
      </c>
      <c r="AM32" s="319" t="s">
        <v>423</v>
      </c>
      <c r="AN32" s="336">
        <v>10</v>
      </c>
      <c r="AO32" s="324">
        <v>5</v>
      </c>
      <c r="AQ32" s="313" t="s">
        <v>423</v>
      </c>
      <c r="AR32" s="329">
        <v>3.8565928310908774E-3</v>
      </c>
      <c r="AS32" s="323">
        <v>4</v>
      </c>
      <c r="AU32" s="319" t="s">
        <v>423</v>
      </c>
      <c r="AV32" s="336">
        <v>0.67546017596907071</v>
      </c>
      <c r="AW32" s="357">
        <v>2</v>
      </c>
      <c r="AZ32" s="307">
        <f t="shared" si="0"/>
        <v>11</v>
      </c>
      <c r="BA32" s="307">
        <f t="shared" si="1"/>
        <v>14</v>
      </c>
      <c r="BB32" s="307">
        <f t="shared" si="2"/>
        <v>14</v>
      </c>
      <c r="BE32" t="s">
        <v>608</v>
      </c>
      <c r="BF32">
        <v>2017</v>
      </c>
      <c r="BG32">
        <f>AZ12</f>
        <v>16</v>
      </c>
      <c r="BH32">
        <f t="shared" si="3"/>
        <v>1</v>
      </c>
    </row>
    <row r="33" spans="1:60" x14ac:dyDescent="0.2">
      <c r="A33" s="317" t="s">
        <v>427</v>
      </c>
      <c r="B33" s="318">
        <v>1.2252944807648322E-9</v>
      </c>
      <c r="C33" s="324">
        <v>5</v>
      </c>
      <c r="E33" s="311" t="s">
        <v>427</v>
      </c>
      <c r="F33" s="311">
        <v>2.7401129943502824</v>
      </c>
      <c r="G33" s="323">
        <v>4</v>
      </c>
      <c r="I33" s="308" t="s">
        <v>427</v>
      </c>
      <c r="J33" s="327">
        <v>0</v>
      </c>
      <c r="K33" s="321">
        <v>2</v>
      </c>
      <c r="M33" s="311" t="s">
        <v>427</v>
      </c>
      <c r="N33" s="335">
        <v>0.32617726650546863</v>
      </c>
      <c r="O33" s="313">
        <v>3</v>
      </c>
      <c r="R33" s="311" t="s">
        <v>427</v>
      </c>
      <c r="S33" s="312">
        <v>6.171930142206173E-10</v>
      </c>
      <c r="T33" s="323">
        <v>4</v>
      </c>
      <c r="V33" s="313" t="s">
        <v>427</v>
      </c>
      <c r="W33" s="335">
        <v>2.3982152816508644</v>
      </c>
      <c r="X33" s="313">
        <v>4</v>
      </c>
      <c r="Z33" s="310" t="s">
        <v>427</v>
      </c>
      <c r="AA33" s="341">
        <v>0</v>
      </c>
      <c r="AB33" s="310">
        <v>2</v>
      </c>
      <c r="AD33" s="316" t="s">
        <v>427</v>
      </c>
      <c r="AE33" s="337">
        <v>0.29831258912394393</v>
      </c>
      <c r="AF33" s="322">
        <v>4</v>
      </c>
      <c r="AI33" s="316" t="s">
        <v>427</v>
      </c>
      <c r="AJ33" s="315">
        <v>4.0597597811685433E-10</v>
      </c>
      <c r="AK33" s="322">
        <v>3</v>
      </c>
      <c r="AM33" s="313" t="s">
        <v>427</v>
      </c>
      <c r="AN33" s="335">
        <v>1.7826825127334465</v>
      </c>
      <c r="AO33" s="323">
        <v>4</v>
      </c>
      <c r="AQ33" s="310" t="s">
        <v>427</v>
      </c>
      <c r="AR33" s="327">
        <v>0</v>
      </c>
      <c r="AS33" s="321">
        <v>2</v>
      </c>
      <c r="AU33" s="316" t="s">
        <v>427</v>
      </c>
      <c r="AV33" s="337">
        <v>0.25787328940174725</v>
      </c>
      <c r="AW33" s="322">
        <v>4</v>
      </c>
      <c r="AZ33" s="307">
        <f t="shared" si="0"/>
        <v>14</v>
      </c>
      <c r="BA33" s="307">
        <f t="shared" si="1"/>
        <v>14</v>
      </c>
      <c r="BB33" s="307">
        <f t="shared" si="2"/>
        <v>13</v>
      </c>
      <c r="BE33" t="s">
        <v>608</v>
      </c>
      <c r="BF33">
        <v>2018</v>
      </c>
      <c r="BG33">
        <f>BA12</f>
        <v>17</v>
      </c>
      <c r="BH33">
        <f t="shared" si="3"/>
        <v>1</v>
      </c>
    </row>
    <row r="34" spans="1:60" x14ac:dyDescent="0.2">
      <c r="A34" s="311" t="s">
        <v>622</v>
      </c>
      <c r="B34" s="312">
        <v>5.621781968297309E-10</v>
      </c>
      <c r="C34" s="323">
        <v>4</v>
      </c>
      <c r="E34" s="311" t="s">
        <v>622</v>
      </c>
      <c r="F34" s="311">
        <v>1.4242788461538463</v>
      </c>
      <c r="G34" s="323">
        <v>4</v>
      </c>
      <c r="I34" s="314" t="s">
        <v>622</v>
      </c>
      <c r="J34" s="328">
        <v>2.1636565609625758E-4</v>
      </c>
      <c r="K34" s="322">
        <v>3</v>
      </c>
      <c r="M34" s="308" t="s">
        <v>622</v>
      </c>
      <c r="N34" s="334">
        <v>9.8954042468021128E-2</v>
      </c>
      <c r="O34" s="310">
        <v>5</v>
      </c>
      <c r="R34" s="311" t="s">
        <v>622</v>
      </c>
      <c r="S34" s="312">
        <v>4.5082365272759392E-10</v>
      </c>
      <c r="T34" s="323">
        <v>4</v>
      </c>
      <c r="V34" s="316" t="s">
        <v>622</v>
      </c>
      <c r="W34" s="337">
        <v>1.1272321428571428</v>
      </c>
      <c r="X34" s="316">
        <v>3</v>
      </c>
      <c r="Z34" s="316" t="s">
        <v>622</v>
      </c>
      <c r="AA34" s="342">
        <v>1.3662903067047959E-4</v>
      </c>
      <c r="AB34" s="316">
        <v>3</v>
      </c>
      <c r="AD34" s="310" t="s">
        <v>622</v>
      </c>
      <c r="AE34" s="334">
        <v>9.0814793553282674E-2</v>
      </c>
      <c r="AF34" s="321">
        <v>5</v>
      </c>
      <c r="AI34" s="313" t="s">
        <v>622</v>
      </c>
      <c r="AJ34" s="312">
        <v>4.7435430836342242E-10</v>
      </c>
      <c r="AK34" s="323">
        <v>4</v>
      </c>
      <c r="AM34" s="316" t="s">
        <v>622</v>
      </c>
      <c r="AN34" s="337">
        <v>1.0878661087866108</v>
      </c>
      <c r="AO34" s="322">
        <v>3</v>
      </c>
      <c r="AQ34" s="316" t="s">
        <v>622</v>
      </c>
      <c r="AR34" s="328">
        <v>1.6100970566505749E-4</v>
      </c>
      <c r="AS34" s="322">
        <v>3</v>
      </c>
      <c r="AU34" s="310" t="s">
        <v>622</v>
      </c>
      <c r="AV34" s="334">
        <v>8.5343793561414374E-2</v>
      </c>
      <c r="AW34" s="321">
        <v>5</v>
      </c>
      <c r="AZ34" s="307">
        <f t="shared" ref="AZ34:AZ65" si="4">C34+G34+K34+O34</f>
        <v>16</v>
      </c>
      <c r="BA34" s="307">
        <f t="shared" ref="BA34:BA65" si="5">T34+X34+AB34+AF34</f>
        <v>15</v>
      </c>
      <c r="BB34" s="307">
        <f t="shared" ref="BB34:BB65" si="6">AK34+AO34+AS34+AW34</f>
        <v>15</v>
      </c>
      <c r="BE34" t="s">
        <v>608</v>
      </c>
      <c r="BF34">
        <v>2019</v>
      </c>
      <c r="BG34">
        <f>BB12</f>
        <v>16</v>
      </c>
      <c r="BH34">
        <f t="shared" si="3"/>
        <v>1</v>
      </c>
    </row>
    <row r="35" spans="1:60" x14ac:dyDescent="0.2">
      <c r="A35" s="311" t="s">
        <v>630</v>
      </c>
      <c r="B35" s="312">
        <v>7.1726225191287601E-10</v>
      </c>
      <c r="C35" s="323">
        <v>4</v>
      </c>
      <c r="E35" s="308" t="s">
        <v>630</v>
      </c>
      <c r="F35" s="308">
        <v>0.57565789473684215</v>
      </c>
      <c r="G35" s="321">
        <v>2</v>
      </c>
      <c r="I35" s="317" t="s">
        <v>630</v>
      </c>
      <c r="J35" s="330">
        <v>2.9449849386973245E-2</v>
      </c>
      <c r="K35" s="324">
        <v>5</v>
      </c>
      <c r="M35" s="308" t="s">
        <v>630</v>
      </c>
      <c r="N35" s="334">
        <v>1.7460973204104478E-2</v>
      </c>
      <c r="O35" s="310">
        <v>5</v>
      </c>
      <c r="R35" s="311" t="s">
        <v>630</v>
      </c>
      <c r="S35" s="312">
        <v>6.1507453509408514E-10</v>
      </c>
      <c r="T35" s="323">
        <v>4</v>
      </c>
      <c r="V35" s="310" t="s">
        <v>630</v>
      </c>
      <c r="W35" s="334">
        <v>0.49044585987261147</v>
      </c>
      <c r="X35" s="310">
        <v>2</v>
      </c>
      <c r="Z35" s="319" t="s">
        <v>630</v>
      </c>
      <c r="AA35" s="343">
        <v>2.7262581894623494E-2</v>
      </c>
      <c r="AB35" s="319">
        <v>5</v>
      </c>
      <c r="AD35" s="310" t="s">
        <v>630</v>
      </c>
      <c r="AE35" s="334">
        <v>1.6663518693797685E-2</v>
      </c>
      <c r="AF35" s="321">
        <v>5</v>
      </c>
      <c r="AI35" s="313" t="s">
        <v>630</v>
      </c>
      <c r="AJ35" s="312">
        <v>5.6388190895093837E-10</v>
      </c>
      <c r="AK35" s="323">
        <v>4</v>
      </c>
      <c r="AM35" s="310" t="s">
        <v>630</v>
      </c>
      <c r="AN35" s="334">
        <v>0.37302725968436157</v>
      </c>
      <c r="AO35" s="321">
        <v>2</v>
      </c>
      <c r="AQ35" s="319" t="s">
        <v>630</v>
      </c>
      <c r="AR35" s="330">
        <v>1.6726873481264871E-2</v>
      </c>
      <c r="AS35" s="324">
        <v>5</v>
      </c>
      <c r="AU35" s="310" t="s">
        <v>630</v>
      </c>
      <c r="AV35" s="334">
        <v>1.5755020705839912E-2</v>
      </c>
      <c r="AW35" s="321">
        <v>5</v>
      </c>
      <c r="AZ35" s="307">
        <f t="shared" si="4"/>
        <v>16</v>
      </c>
      <c r="BA35" s="307">
        <f t="shared" si="5"/>
        <v>16</v>
      </c>
      <c r="BB35" s="307">
        <f t="shared" si="6"/>
        <v>16</v>
      </c>
      <c r="BE35" t="s">
        <v>731</v>
      </c>
      <c r="BF35">
        <v>2017</v>
      </c>
      <c r="BG35">
        <f>AZ13</f>
        <v>17</v>
      </c>
      <c r="BH35">
        <f t="shared" si="3"/>
        <v>1</v>
      </c>
    </row>
    <row r="36" spans="1:60" x14ac:dyDescent="0.2">
      <c r="A36" s="314" t="s">
        <v>633</v>
      </c>
      <c r="B36" s="315">
        <v>3.7638694078781762E-10</v>
      </c>
      <c r="C36" s="322">
        <v>3</v>
      </c>
      <c r="E36" s="314" t="s">
        <v>633</v>
      </c>
      <c r="F36" s="314">
        <v>1.1793103448275861</v>
      </c>
      <c r="G36" s="322">
        <v>3</v>
      </c>
      <c r="I36" s="311" t="s">
        <v>633</v>
      </c>
      <c r="J36" s="329">
        <v>2.9829579902185912E-3</v>
      </c>
      <c r="K36" s="323">
        <v>4</v>
      </c>
      <c r="M36" s="308" t="s">
        <v>633</v>
      </c>
      <c r="N36" s="334">
        <v>4.2765902982736671E-2</v>
      </c>
      <c r="O36" s="310">
        <v>5</v>
      </c>
      <c r="R36" s="311" t="s">
        <v>633</v>
      </c>
      <c r="S36" s="312">
        <v>4.8637873115932512E-10</v>
      </c>
      <c r="T36" s="323">
        <v>4</v>
      </c>
      <c r="V36" s="316" t="s">
        <v>633</v>
      </c>
      <c r="W36" s="337">
        <v>1.0671140939597314</v>
      </c>
      <c r="X36" s="316">
        <v>3</v>
      </c>
      <c r="Z36" s="313" t="s">
        <v>633</v>
      </c>
      <c r="AA36" s="340">
        <v>4.6959065049368056E-3</v>
      </c>
      <c r="AB36" s="313">
        <v>4</v>
      </c>
      <c r="AD36" s="310" t="s">
        <v>633</v>
      </c>
      <c r="AE36" s="334">
        <v>4.1706859815416948E-2</v>
      </c>
      <c r="AF36" s="321">
        <v>5</v>
      </c>
      <c r="AI36" s="310" t="s">
        <v>633</v>
      </c>
      <c r="AJ36" s="309">
        <v>1.9394359042941677E-10</v>
      </c>
      <c r="AK36" s="321">
        <v>2</v>
      </c>
      <c r="AM36" s="319" t="s">
        <v>633</v>
      </c>
      <c r="AN36" s="336">
        <v>2.2089552238805972</v>
      </c>
      <c r="AO36" s="324">
        <v>5</v>
      </c>
      <c r="AQ36" s="313" t="s">
        <v>633</v>
      </c>
      <c r="AR36" s="329">
        <v>1.7512708540858635E-3</v>
      </c>
      <c r="AS36" s="323">
        <v>4</v>
      </c>
      <c r="AU36" s="310" t="s">
        <v>633</v>
      </c>
      <c r="AV36" s="334">
        <v>4.0650007387181435E-2</v>
      </c>
      <c r="AW36" s="321">
        <v>5</v>
      </c>
      <c r="AZ36" s="307">
        <f t="shared" si="4"/>
        <v>15</v>
      </c>
      <c r="BA36" s="307">
        <f t="shared" si="5"/>
        <v>16</v>
      </c>
      <c r="BB36" s="307">
        <f t="shared" si="6"/>
        <v>16</v>
      </c>
      <c r="BE36" t="s">
        <v>731</v>
      </c>
      <c r="BF36">
        <v>2018</v>
      </c>
      <c r="BG36">
        <f>BA13</f>
        <v>16</v>
      </c>
      <c r="BH36">
        <f t="shared" si="3"/>
        <v>1</v>
      </c>
    </row>
    <row r="37" spans="1:60" x14ac:dyDescent="0.2">
      <c r="A37" s="317" t="s">
        <v>74</v>
      </c>
      <c r="B37" s="318">
        <v>2.8707859496026192E-9</v>
      </c>
      <c r="C37" s="324">
        <v>5</v>
      </c>
      <c r="E37" s="311" t="s">
        <v>74</v>
      </c>
      <c r="F37" s="311">
        <v>1.4248366013071896</v>
      </c>
      <c r="G37" s="323">
        <v>4</v>
      </c>
      <c r="I37" s="308" t="s">
        <v>74</v>
      </c>
      <c r="J37" s="327">
        <v>0</v>
      </c>
      <c r="K37" s="321">
        <v>2</v>
      </c>
      <c r="M37" s="314" t="s">
        <v>74</v>
      </c>
      <c r="N37" s="337">
        <v>0.24601943482926297</v>
      </c>
      <c r="O37" s="316">
        <v>4</v>
      </c>
      <c r="R37" s="317" t="s">
        <v>74</v>
      </c>
      <c r="S37" s="318">
        <v>3.6521865133074539E-9</v>
      </c>
      <c r="T37" s="324">
        <v>5</v>
      </c>
      <c r="V37" s="313" t="s">
        <v>74</v>
      </c>
      <c r="W37" s="335">
        <v>1.1884057971014492</v>
      </c>
      <c r="X37" s="313">
        <v>4</v>
      </c>
      <c r="Z37" s="310" t="s">
        <v>74</v>
      </c>
      <c r="AA37" s="341">
        <v>0</v>
      </c>
      <c r="AB37" s="310">
        <v>2</v>
      </c>
      <c r="AD37" s="316" t="s">
        <v>74</v>
      </c>
      <c r="AE37" s="337">
        <v>0.25544634025085161</v>
      </c>
      <c r="AF37" s="322">
        <v>4</v>
      </c>
      <c r="AI37" s="319" t="s">
        <v>74</v>
      </c>
      <c r="AJ37" s="318">
        <v>3.1762251502784534E-9</v>
      </c>
      <c r="AK37" s="324">
        <v>5</v>
      </c>
      <c r="AM37" s="313" t="s">
        <v>74</v>
      </c>
      <c r="AN37" s="335">
        <v>1.3068181818181819</v>
      </c>
      <c r="AO37" s="323">
        <v>4</v>
      </c>
      <c r="AQ37" s="310" t="s">
        <v>74</v>
      </c>
      <c r="AR37" s="327">
        <v>0</v>
      </c>
      <c r="AS37" s="321">
        <v>2</v>
      </c>
      <c r="AU37" s="316" t="s">
        <v>74</v>
      </c>
      <c r="AV37" s="337">
        <v>0.27116165028271239</v>
      </c>
      <c r="AW37" s="322">
        <v>4</v>
      </c>
      <c r="AZ37" s="307">
        <f t="shared" si="4"/>
        <v>15</v>
      </c>
      <c r="BA37" s="307">
        <f t="shared" si="5"/>
        <v>15</v>
      </c>
      <c r="BB37" s="307">
        <f t="shared" si="6"/>
        <v>15</v>
      </c>
      <c r="BE37" t="s">
        <v>731</v>
      </c>
      <c r="BF37">
        <v>2019</v>
      </c>
      <c r="BG37">
        <f>BB13</f>
        <v>14</v>
      </c>
      <c r="BH37">
        <f t="shared" si="3"/>
        <v>1</v>
      </c>
    </row>
    <row r="38" spans="1:60" x14ac:dyDescent="0.2">
      <c r="A38" s="308" t="s">
        <v>354</v>
      </c>
      <c r="B38" s="309">
        <v>1.2333606612410878E-10</v>
      </c>
      <c r="C38" s="321">
        <v>2</v>
      </c>
      <c r="E38" s="308" t="s">
        <v>354</v>
      </c>
      <c r="F38" s="308">
        <v>0.547244094488189</v>
      </c>
      <c r="G38" s="321">
        <v>2</v>
      </c>
      <c r="I38" s="308" t="s">
        <v>354</v>
      </c>
      <c r="J38" s="327">
        <v>0</v>
      </c>
      <c r="K38" s="321">
        <v>2</v>
      </c>
      <c r="M38" s="308" t="s">
        <v>354</v>
      </c>
      <c r="N38" s="334">
        <v>0.16005846830466167</v>
      </c>
      <c r="O38" s="310">
        <v>5</v>
      </c>
      <c r="R38" s="308" t="s">
        <v>354</v>
      </c>
      <c r="S38" s="309">
        <v>9.9539184809912849E-11</v>
      </c>
      <c r="T38" s="321">
        <v>2</v>
      </c>
      <c r="V38" s="310" t="s">
        <v>354</v>
      </c>
      <c r="W38" s="334">
        <v>0.47270562694772228</v>
      </c>
      <c r="X38" s="310">
        <v>2</v>
      </c>
      <c r="Z38" s="310" t="s">
        <v>354</v>
      </c>
      <c r="AA38" s="341">
        <v>0</v>
      </c>
      <c r="AB38" s="310">
        <v>2</v>
      </c>
      <c r="AD38" s="310" t="s">
        <v>354</v>
      </c>
      <c r="AE38" s="334">
        <v>0.12693700285952966</v>
      </c>
      <c r="AF38" s="321">
        <v>5</v>
      </c>
      <c r="AI38" s="310" t="s">
        <v>354</v>
      </c>
      <c r="AJ38" s="309">
        <v>1.0822287358868624E-10</v>
      </c>
      <c r="AK38" s="321">
        <v>2</v>
      </c>
      <c r="AM38" s="310" t="s">
        <v>354</v>
      </c>
      <c r="AN38" s="334">
        <v>0.46803845505144204</v>
      </c>
      <c r="AO38" s="321">
        <v>2</v>
      </c>
      <c r="AQ38" s="310" t="s">
        <v>354</v>
      </c>
      <c r="AR38" s="327">
        <v>0</v>
      </c>
      <c r="AS38" s="321">
        <v>2</v>
      </c>
      <c r="AU38" s="310" t="s">
        <v>354</v>
      </c>
      <c r="AV38" s="334">
        <v>0.1162335350541813</v>
      </c>
      <c r="AW38" s="321">
        <v>5</v>
      </c>
      <c r="AZ38" s="307">
        <f t="shared" si="4"/>
        <v>11</v>
      </c>
      <c r="BA38" s="307">
        <f t="shared" si="5"/>
        <v>11</v>
      </c>
      <c r="BB38" s="307">
        <f t="shared" si="6"/>
        <v>11</v>
      </c>
      <c r="BE38" t="s">
        <v>518</v>
      </c>
      <c r="BF38">
        <v>2017</v>
      </c>
      <c r="BG38">
        <f>AZ14</f>
        <v>15</v>
      </c>
      <c r="BH38">
        <f t="shared" si="3"/>
        <v>1</v>
      </c>
    </row>
    <row r="39" spans="1:60" x14ac:dyDescent="0.2">
      <c r="A39" s="311" t="s">
        <v>149</v>
      </c>
      <c r="B39" s="312">
        <v>7.5714913733727522E-10</v>
      </c>
      <c r="C39" s="323">
        <v>4</v>
      </c>
      <c r="E39" s="311" t="s">
        <v>149</v>
      </c>
      <c r="F39" s="311">
        <v>1.9678714859437751</v>
      </c>
      <c r="G39" s="323">
        <v>4</v>
      </c>
      <c r="I39" s="317" t="s">
        <v>149</v>
      </c>
      <c r="J39" s="330">
        <v>0.16257125607959977</v>
      </c>
      <c r="K39" s="324">
        <v>5</v>
      </c>
      <c r="M39" s="314" t="s">
        <v>149</v>
      </c>
      <c r="N39" s="337">
        <v>0.2413263685137321</v>
      </c>
      <c r="O39" s="316">
        <v>4</v>
      </c>
      <c r="R39" s="311" t="s">
        <v>149</v>
      </c>
      <c r="S39" s="312">
        <v>7.060246808719021E-10</v>
      </c>
      <c r="T39" s="323">
        <v>4</v>
      </c>
      <c r="V39" s="313" t="s">
        <v>149</v>
      </c>
      <c r="W39" s="335">
        <v>1.811391223155929</v>
      </c>
      <c r="X39" s="313">
        <v>4</v>
      </c>
      <c r="Z39" s="319" t="s">
        <v>149</v>
      </c>
      <c r="AA39" s="343">
        <v>0.15104731618790992</v>
      </c>
      <c r="AB39" s="319">
        <v>5</v>
      </c>
      <c r="AD39" s="316" t="s">
        <v>149</v>
      </c>
      <c r="AE39" s="337">
        <v>0.23457717704227971</v>
      </c>
      <c r="AF39" s="322">
        <v>4</v>
      </c>
      <c r="AI39" s="313" t="s">
        <v>149</v>
      </c>
      <c r="AJ39" s="312">
        <v>6.9056039537578737E-10</v>
      </c>
      <c r="AK39" s="323">
        <v>4</v>
      </c>
      <c r="AM39" s="313" t="s">
        <v>149</v>
      </c>
      <c r="AN39" s="335">
        <v>1.9296740994854202</v>
      </c>
      <c r="AO39" s="323">
        <v>4</v>
      </c>
      <c r="AQ39" s="319" t="s">
        <v>149</v>
      </c>
      <c r="AR39" s="330">
        <v>0.12892363192862202</v>
      </c>
      <c r="AS39" s="324">
        <v>5</v>
      </c>
      <c r="AU39" s="316" t="s">
        <v>149</v>
      </c>
      <c r="AV39" s="337">
        <v>0.21471698872766073</v>
      </c>
      <c r="AW39" s="322">
        <v>4</v>
      </c>
      <c r="AZ39" s="307">
        <f t="shared" si="4"/>
        <v>17</v>
      </c>
      <c r="BA39" s="307">
        <f t="shared" si="5"/>
        <v>17</v>
      </c>
      <c r="BB39" s="307">
        <f t="shared" si="6"/>
        <v>17</v>
      </c>
      <c r="BE39" t="s">
        <v>518</v>
      </c>
      <c r="BF39">
        <v>2018</v>
      </c>
      <c r="BG39">
        <f>BA14</f>
        <v>15</v>
      </c>
      <c r="BH39">
        <f t="shared" si="3"/>
        <v>1</v>
      </c>
    </row>
    <row r="40" spans="1:60" x14ac:dyDescent="0.2">
      <c r="A40" s="311" t="s">
        <v>433</v>
      </c>
      <c r="B40" s="312">
        <v>7.4892188246741363E-10</v>
      </c>
      <c r="C40" s="323">
        <v>4</v>
      </c>
      <c r="E40" s="314" t="s">
        <v>433</v>
      </c>
      <c r="F40" s="314">
        <v>0.7331223628691983</v>
      </c>
      <c r="G40" s="322">
        <v>3</v>
      </c>
      <c r="I40" s="311" t="s">
        <v>433</v>
      </c>
      <c r="J40" s="329">
        <v>1.868237953135927E-3</v>
      </c>
      <c r="K40" s="323">
        <v>4</v>
      </c>
      <c r="M40" s="311" t="s">
        <v>433</v>
      </c>
      <c r="N40" s="335">
        <v>0.45791387658484167</v>
      </c>
      <c r="O40" s="313">
        <v>3</v>
      </c>
      <c r="R40" s="311" t="s">
        <v>433</v>
      </c>
      <c r="S40" s="312">
        <v>6.4631376800321305E-10</v>
      </c>
      <c r="T40" s="323">
        <v>4</v>
      </c>
      <c r="V40" s="316" t="s">
        <v>433</v>
      </c>
      <c r="W40" s="337">
        <v>0.82528957528957525</v>
      </c>
      <c r="X40" s="316">
        <v>3</v>
      </c>
      <c r="Z40" s="310" t="s">
        <v>433</v>
      </c>
      <c r="AA40" s="341">
        <v>0</v>
      </c>
      <c r="AB40" s="310">
        <v>2</v>
      </c>
      <c r="AD40" s="313" t="s">
        <v>433</v>
      </c>
      <c r="AE40" s="335">
        <v>0.43545523517977508</v>
      </c>
      <c r="AF40" s="323">
        <v>3</v>
      </c>
      <c r="AI40" s="313" t="s">
        <v>433</v>
      </c>
      <c r="AJ40" s="312">
        <v>6.7783256062944945E-10</v>
      </c>
      <c r="AK40" s="323">
        <v>4</v>
      </c>
      <c r="AM40" s="316" t="s">
        <v>433</v>
      </c>
      <c r="AN40" s="337">
        <v>0.87704918032786883</v>
      </c>
      <c r="AO40" s="322">
        <v>3</v>
      </c>
      <c r="AQ40" s="310" t="s">
        <v>433</v>
      </c>
      <c r="AR40" s="327">
        <v>0</v>
      </c>
      <c r="AS40" s="321">
        <v>2</v>
      </c>
      <c r="AU40" s="354" t="s">
        <v>433</v>
      </c>
      <c r="AV40" s="355">
        <v>0.47044309241005833</v>
      </c>
      <c r="AW40" s="356">
        <v>3</v>
      </c>
      <c r="AZ40" s="307">
        <f t="shared" si="4"/>
        <v>14</v>
      </c>
      <c r="BA40" s="307">
        <f t="shared" si="5"/>
        <v>12</v>
      </c>
      <c r="BB40" s="307">
        <f t="shared" si="6"/>
        <v>12</v>
      </c>
      <c r="BE40" t="s">
        <v>518</v>
      </c>
      <c r="BF40">
        <v>2019</v>
      </c>
      <c r="BG40">
        <f>BB14</f>
        <v>14</v>
      </c>
      <c r="BH40">
        <f t="shared" si="3"/>
        <v>1</v>
      </c>
    </row>
    <row r="41" spans="1:60" x14ac:dyDescent="0.2">
      <c r="A41" s="311" t="s">
        <v>635</v>
      </c>
      <c r="B41" s="312">
        <v>5.2694077848680263E-10</v>
      </c>
      <c r="C41" s="323">
        <v>4</v>
      </c>
      <c r="E41" s="308" t="s">
        <v>635</v>
      </c>
      <c r="F41" s="308">
        <v>0.29239766081871343</v>
      </c>
      <c r="G41" s="321">
        <v>2</v>
      </c>
      <c r="I41" s="314" t="s">
        <v>635</v>
      </c>
      <c r="J41" s="328">
        <v>2.8461098294679598E-4</v>
      </c>
      <c r="K41" s="322">
        <v>3</v>
      </c>
      <c r="M41" s="314" t="s">
        <v>635</v>
      </c>
      <c r="N41" s="337">
        <v>0.20750488040849518</v>
      </c>
      <c r="O41" s="316">
        <v>4</v>
      </c>
      <c r="R41" s="311" t="s">
        <v>635</v>
      </c>
      <c r="S41" s="312">
        <v>5.6822878349358569E-10</v>
      </c>
      <c r="T41" s="323">
        <v>4</v>
      </c>
      <c r="V41" s="310" t="s">
        <v>635</v>
      </c>
      <c r="W41" s="334">
        <v>0.22624434389140272</v>
      </c>
      <c r="X41" s="310">
        <v>2</v>
      </c>
      <c r="Z41" s="313" t="s">
        <v>635</v>
      </c>
      <c r="AA41" s="340">
        <v>8.386043844762504E-3</v>
      </c>
      <c r="AB41" s="313">
        <v>4</v>
      </c>
      <c r="AD41" s="316" t="s">
        <v>635</v>
      </c>
      <c r="AE41" s="337">
        <v>0.20899580751998609</v>
      </c>
      <c r="AF41" s="322">
        <v>4</v>
      </c>
      <c r="AI41" s="313" t="s">
        <v>635</v>
      </c>
      <c r="AJ41" s="312">
        <v>6.3628575522331653E-10</v>
      </c>
      <c r="AK41" s="323">
        <v>4</v>
      </c>
      <c r="AM41" s="310" t="s">
        <v>635</v>
      </c>
      <c r="AN41" s="327">
        <v>0</v>
      </c>
      <c r="AO41" s="321">
        <v>2</v>
      </c>
      <c r="AQ41" s="319" t="s">
        <v>635</v>
      </c>
      <c r="AR41" s="330">
        <v>2.3744581671137899E-2</v>
      </c>
      <c r="AS41" s="324">
        <v>5</v>
      </c>
      <c r="AU41" s="316" t="s">
        <v>635</v>
      </c>
      <c r="AV41" s="337">
        <v>0.22961914999665847</v>
      </c>
      <c r="AW41" s="322">
        <v>4</v>
      </c>
      <c r="AZ41" s="307">
        <f t="shared" si="4"/>
        <v>13</v>
      </c>
      <c r="BA41" s="307">
        <f t="shared" si="5"/>
        <v>14</v>
      </c>
      <c r="BB41" s="307">
        <f t="shared" si="6"/>
        <v>15</v>
      </c>
      <c r="BE41" t="s">
        <v>522</v>
      </c>
      <c r="BF41">
        <v>2017</v>
      </c>
      <c r="BG41">
        <f>AZ15</f>
        <v>16</v>
      </c>
      <c r="BH41">
        <f t="shared" si="3"/>
        <v>1</v>
      </c>
    </row>
    <row r="42" spans="1:60" x14ac:dyDescent="0.2">
      <c r="A42" s="311" t="s">
        <v>757</v>
      </c>
      <c r="B42" s="312">
        <v>6.1780887736031853E-10</v>
      </c>
      <c r="C42" s="323">
        <v>4</v>
      </c>
      <c r="E42" s="317" t="s">
        <v>757</v>
      </c>
      <c r="F42" s="317">
        <v>3.0044275774826059</v>
      </c>
      <c r="G42" s="324">
        <v>5</v>
      </c>
      <c r="I42" s="311" t="s">
        <v>757</v>
      </c>
      <c r="J42" s="329">
        <v>6.4538940127806645E-3</v>
      </c>
      <c r="K42" s="323">
        <v>4</v>
      </c>
      <c r="M42" s="308" t="s">
        <v>757</v>
      </c>
      <c r="N42" s="334">
        <v>0.10510815840178728</v>
      </c>
      <c r="O42" s="310">
        <v>5</v>
      </c>
      <c r="R42" s="311" t="s">
        <v>757</v>
      </c>
      <c r="S42" s="312">
        <v>6.0303285116582568E-10</v>
      </c>
      <c r="T42" s="323">
        <v>4</v>
      </c>
      <c r="V42" s="319" t="s">
        <v>757</v>
      </c>
      <c r="W42" s="336">
        <v>3.0668127053669223</v>
      </c>
      <c r="X42" s="319">
        <v>5</v>
      </c>
      <c r="Z42" s="313" t="s">
        <v>757</v>
      </c>
      <c r="AA42" s="340">
        <v>8.5018373903146139E-3</v>
      </c>
      <c r="AB42" s="313">
        <v>4</v>
      </c>
      <c r="AD42" s="310" t="s">
        <v>757</v>
      </c>
      <c r="AE42" s="334">
        <v>0.12899017883775751</v>
      </c>
      <c r="AF42" s="321">
        <v>5</v>
      </c>
      <c r="AI42" s="313" t="s">
        <v>757</v>
      </c>
      <c r="AJ42" s="312">
        <v>4.6297027811057308E-10</v>
      </c>
      <c r="AK42" s="323">
        <v>4</v>
      </c>
      <c r="AM42" s="319" t="s">
        <v>757</v>
      </c>
      <c r="AN42" s="336">
        <v>2.5549954170485791</v>
      </c>
      <c r="AO42" s="324">
        <v>5</v>
      </c>
      <c r="AQ42" s="313" t="s">
        <v>757</v>
      </c>
      <c r="AR42" s="329">
        <v>4.1225822194450651E-3</v>
      </c>
      <c r="AS42" s="323">
        <v>4</v>
      </c>
      <c r="AU42" s="310" t="s">
        <v>757</v>
      </c>
      <c r="AV42" s="334">
        <v>0.17268262138224549</v>
      </c>
      <c r="AW42" s="321">
        <v>5</v>
      </c>
      <c r="AZ42" s="307">
        <f t="shared" si="4"/>
        <v>18</v>
      </c>
      <c r="BA42" s="307">
        <f t="shared" si="5"/>
        <v>18</v>
      </c>
      <c r="BB42" s="307">
        <f t="shared" si="6"/>
        <v>18</v>
      </c>
      <c r="BE42" t="s">
        <v>522</v>
      </c>
      <c r="BF42">
        <v>2018</v>
      </c>
      <c r="BG42">
        <f>BA15</f>
        <v>16</v>
      </c>
      <c r="BH42">
        <f t="shared" si="3"/>
        <v>1</v>
      </c>
    </row>
    <row r="43" spans="1:60" x14ac:dyDescent="0.2">
      <c r="A43" s="308" t="s">
        <v>760</v>
      </c>
      <c r="B43" s="309">
        <v>8.9228542434295293E-11</v>
      </c>
      <c r="C43" s="321">
        <v>2</v>
      </c>
      <c r="E43" s="308" t="s">
        <v>760</v>
      </c>
      <c r="F43" s="308">
        <v>0.63307493540051685</v>
      </c>
      <c r="G43" s="321">
        <v>2</v>
      </c>
      <c r="I43" s="311" t="s">
        <v>760</v>
      </c>
      <c r="J43" s="329">
        <v>1.1750288743204216E-2</v>
      </c>
      <c r="K43" s="323">
        <v>4</v>
      </c>
      <c r="M43" s="308" t="s">
        <v>760</v>
      </c>
      <c r="N43" s="334">
        <v>5.4745490165284315E-2</v>
      </c>
      <c r="O43" s="310">
        <v>5</v>
      </c>
      <c r="R43" s="308" t="s">
        <v>760</v>
      </c>
      <c r="S43" s="309">
        <v>7.9149952578496042E-11</v>
      </c>
      <c r="T43" s="321">
        <v>2</v>
      </c>
      <c r="V43" s="313" t="s">
        <v>760</v>
      </c>
      <c r="W43" s="335">
        <v>1.4550264550264551</v>
      </c>
      <c r="X43" s="313">
        <v>4</v>
      </c>
      <c r="Z43" s="313" t="s">
        <v>760</v>
      </c>
      <c r="AA43" s="340">
        <v>7.3199533400691123E-3</v>
      </c>
      <c r="AB43" s="313">
        <v>4</v>
      </c>
      <c r="AD43" s="310" t="s">
        <v>760</v>
      </c>
      <c r="AE43" s="334">
        <v>4.3655283993504976E-2</v>
      </c>
      <c r="AF43" s="321">
        <v>5</v>
      </c>
      <c r="AI43" s="310" t="s">
        <v>760</v>
      </c>
      <c r="AJ43" s="309">
        <v>8.8390001606024168E-11</v>
      </c>
      <c r="AK43" s="321">
        <v>2</v>
      </c>
      <c r="AM43" s="316" t="s">
        <v>760</v>
      </c>
      <c r="AN43" s="337">
        <v>1.1506410256410255</v>
      </c>
      <c r="AO43" s="322">
        <v>3</v>
      </c>
      <c r="AQ43" s="313" t="s">
        <v>760</v>
      </c>
      <c r="AR43" s="329">
        <v>8.4536535069249415E-3</v>
      </c>
      <c r="AS43" s="323">
        <v>4</v>
      </c>
      <c r="AU43" s="310" t="s">
        <v>760</v>
      </c>
      <c r="AV43" s="334">
        <v>6.3044629233898836E-2</v>
      </c>
      <c r="AW43" s="321">
        <v>5</v>
      </c>
      <c r="AZ43" s="307">
        <f t="shared" si="4"/>
        <v>13</v>
      </c>
      <c r="BA43" s="307">
        <f t="shared" si="5"/>
        <v>15</v>
      </c>
      <c r="BB43" s="307">
        <f t="shared" si="6"/>
        <v>14</v>
      </c>
      <c r="BE43" t="s">
        <v>522</v>
      </c>
      <c r="BF43">
        <v>2019</v>
      </c>
      <c r="BG43">
        <f>BB15</f>
        <v>17</v>
      </c>
      <c r="BH43">
        <f t="shared" si="3"/>
        <v>1</v>
      </c>
    </row>
    <row r="44" spans="1:60" x14ac:dyDescent="0.2">
      <c r="A44" s="308" t="s">
        <v>256</v>
      </c>
      <c r="B44" s="309">
        <v>7.2216489297664917E-11</v>
      </c>
      <c r="C44" s="321">
        <v>2</v>
      </c>
      <c r="E44" s="311" t="s">
        <v>256</v>
      </c>
      <c r="F44" s="311">
        <v>1.4653465346534653</v>
      </c>
      <c r="G44" s="323">
        <v>4</v>
      </c>
      <c r="I44" s="317" t="s">
        <v>256</v>
      </c>
      <c r="J44" s="330">
        <v>2.498895988234133E-2</v>
      </c>
      <c r="K44" s="324">
        <v>5</v>
      </c>
      <c r="M44" s="317" t="s">
        <v>256</v>
      </c>
      <c r="N44" s="336">
        <v>0.6202589347811609</v>
      </c>
      <c r="O44" s="319">
        <v>2</v>
      </c>
      <c r="R44" s="308" t="s">
        <v>256</v>
      </c>
      <c r="S44" s="309">
        <v>7.2889563766423479E-11</v>
      </c>
      <c r="T44" s="321">
        <v>2</v>
      </c>
      <c r="V44" s="313" t="s">
        <v>256</v>
      </c>
      <c r="W44" s="335">
        <v>1.1558669001751314</v>
      </c>
      <c r="X44" s="313">
        <v>4</v>
      </c>
      <c r="Z44" s="319" t="s">
        <v>256</v>
      </c>
      <c r="AA44" s="343">
        <v>2.773369431686349E-2</v>
      </c>
      <c r="AB44" s="319">
        <v>5</v>
      </c>
      <c r="AD44" s="319" t="s">
        <v>256</v>
      </c>
      <c r="AE44" s="336">
        <v>0.63803171710797701</v>
      </c>
      <c r="AF44" s="324">
        <v>2</v>
      </c>
      <c r="AI44" s="310" t="s">
        <v>256</v>
      </c>
      <c r="AJ44" s="309">
        <v>6.3741841879806606E-11</v>
      </c>
      <c r="AK44" s="321">
        <v>2</v>
      </c>
      <c r="AM44" s="313" t="s">
        <v>256</v>
      </c>
      <c r="AN44" s="335">
        <v>1.7637178051511757</v>
      </c>
      <c r="AO44" s="323">
        <v>4</v>
      </c>
      <c r="AQ44" s="319" t="s">
        <v>256</v>
      </c>
      <c r="AR44" s="330">
        <v>2.8259320911446267E-2</v>
      </c>
      <c r="AS44" s="324">
        <v>5</v>
      </c>
      <c r="AU44" s="319" t="s">
        <v>256</v>
      </c>
      <c r="AV44" s="336">
        <v>0.67088908162363092</v>
      </c>
      <c r="AW44" s="357">
        <v>2</v>
      </c>
      <c r="AZ44" s="307">
        <f t="shared" si="4"/>
        <v>13</v>
      </c>
      <c r="BA44" s="307">
        <f t="shared" si="5"/>
        <v>13</v>
      </c>
      <c r="BB44" s="307">
        <f t="shared" si="6"/>
        <v>13</v>
      </c>
      <c r="BE44" t="s">
        <v>241</v>
      </c>
      <c r="BF44">
        <v>2017</v>
      </c>
      <c r="BG44">
        <f>AZ16</f>
        <v>8</v>
      </c>
      <c r="BH44">
        <f t="shared" si="3"/>
        <v>0</v>
      </c>
    </row>
    <row r="45" spans="1:60" x14ac:dyDescent="0.2">
      <c r="A45" s="314" t="s">
        <v>444</v>
      </c>
      <c r="B45" s="315">
        <v>3.818903226520982E-10</v>
      </c>
      <c r="C45" s="322">
        <v>3</v>
      </c>
      <c r="E45" s="317" t="s">
        <v>444</v>
      </c>
      <c r="F45" s="317">
        <v>4.069329314242653</v>
      </c>
      <c r="G45" s="324">
        <v>5</v>
      </c>
      <c r="I45" s="308" t="s">
        <v>444</v>
      </c>
      <c r="J45" s="327">
        <v>0</v>
      </c>
      <c r="K45" s="321">
        <v>2</v>
      </c>
      <c r="M45" s="317" t="s">
        <v>444</v>
      </c>
      <c r="N45" s="336">
        <v>0.68674995010697648</v>
      </c>
      <c r="O45" s="319">
        <v>2</v>
      </c>
      <c r="R45" s="314" t="s">
        <v>444</v>
      </c>
      <c r="S45" s="315">
        <v>2.9320878472257999E-10</v>
      </c>
      <c r="T45" s="322">
        <v>3</v>
      </c>
      <c r="V45" s="319" t="s">
        <v>444</v>
      </c>
      <c r="W45" s="336">
        <v>4.4942196531791909</v>
      </c>
      <c r="X45" s="319">
        <v>5</v>
      </c>
      <c r="Z45" s="310" t="s">
        <v>444</v>
      </c>
      <c r="AA45" s="341">
        <v>0</v>
      </c>
      <c r="AB45" s="310">
        <v>2</v>
      </c>
      <c r="AD45" s="319" t="s">
        <v>444</v>
      </c>
      <c r="AE45" s="336">
        <v>0.66244973082279002</v>
      </c>
      <c r="AF45" s="324">
        <v>2</v>
      </c>
      <c r="AI45" s="316" t="s">
        <v>444</v>
      </c>
      <c r="AJ45" s="315">
        <v>4.122874040326618E-10</v>
      </c>
      <c r="AK45" s="322">
        <v>3</v>
      </c>
      <c r="AM45" s="319" t="s">
        <v>444</v>
      </c>
      <c r="AN45" s="336">
        <v>4.0676175382989959</v>
      </c>
      <c r="AO45" s="324">
        <v>5</v>
      </c>
      <c r="AQ45" s="310" t="s">
        <v>444</v>
      </c>
      <c r="AR45" s="327">
        <v>0</v>
      </c>
      <c r="AS45" s="321">
        <v>2</v>
      </c>
      <c r="AU45" s="319" t="s">
        <v>444</v>
      </c>
      <c r="AV45" s="336">
        <v>0.72982932898143016</v>
      </c>
      <c r="AW45" s="357">
        <v>2</v>
      </c>
      <c r="AZ45" s="307">
        <f t="shared" si="4"/>
        <v>12</v>
      </c>
      <c r="BA45" s="307">
        <f t="shared" si="5"/>
        <v>12</v>
      </c>
      <c r="BB45" s="307">
        <f t="shared" si="6"/>
        <v>12</v>
      </c>
      <c r="BE45" t="s">
        <v>241</v>
      </c>
      <c r="BF45">
        <v>2018</v>
      </c>
      <c r="BG45">
        <f>BA16</f>
        <v>9</v>
      </c>
      <c r="BH45">
        <f t="shared" si="3"/>
        <v>0</v>
      </c>
    </row>
    <row r="46" spans="1:60" x14ac:dyDescent="0.2">
      <c r="A46" s="314" t="s">
        <v>531</v>
      </c>
      <c r="B46" s="315">
        <v>4.2684314818133431E-10</v>
      </c>
      <c r="C46" s="322">
        <v>3</v>
      </c>
      <c r="E46" s="314" t="s">
        <v>531</v>
      </c>
      <c r="F46" s="314">
        <v>0.9670079635949943</v>
      </c>
      <c r="G46" s="322">
        <v>3</v>
      </c>
      <c r="I46" s="311" t="s">
        <v>531</v>
      </c>
      <c r="J46" s="329">
        <v>6.0681436386658145E-3</v>
      </c>
      <c r="K46" s="323">
        <v>4</v>
      </c>
      <c r="M46" s="311" t="s">
        <v>531</v>
      </c>
      <c r="N46" s="335">
        <v>0.47687767845023171</v>
      </c>
      <c r="O46" s="313">
        <v>3</v>
      </c>
      <c r="R46" s="314" t="s">
        <v>531</v>
      </c>
      <c r="S46" s="315">
        <v>3.9500482240192818E-10</v>
      </c>
      <c r="T46" s="322">
        <v>3</v>
      </c>
      <c r="V46" s="316" t="s">
        <v>531</v>
      </c>
      <c r="W46" s="337">
        <v>1.0057024364955935</v>
      </c>
      <c r="X46" s="316">
        <v>3</v>
      </c>
      <c r="Z46" s="313" t="s">
        <v>531</v>
      </c>
      <c r="AA46" s="340">
        <v>2.7064893848714332E-3</v>
      </c>
      <c r="AB46" s="313">
        <v>4</v>
      </c>
      <c r="AD46" s="313" t="s">
        <v>531</v>
      </c>
      <c r="AE46" s="335">
        <v>0.50368993370987492</v>
      </c>
      <c r="AF46" s="323">
        <v>3</v>
      </c>
      <c r="AI46" s="313" t="s">
        <v>531</v>
      </c>
      <c r="AJ46" s="312">
        <v>4.6807045645250029E-10</v>
      </c>
      <c r="AK46" s="323">
        <v>4</v>
      </c>
      <c r="AM46" s="316" t="s">
        <v>531</v>
      </c>
      <c r="AN46" s="337">
        <v>1.1037527593818985</v>
      </c>
      <c r="AO46" s="322">
        <v>3</v>
      </c>
      <c r="AQ46" s="313" t="s">
        <v>531</v>
      </c>
      <c r="AR46" s="329">
        <v>4.2651073168005491E-3</v>
      </c>
      <c r="AS46" s="323">
        <v>4</v>
      </c>
      <c r="AU46" s="354" t="s">
        <v>531</v>
      </c>
      <c r="AV46" s="355">
        <v>0.53210638048869607</v>
      </c>
      <c r="AW46" s="356">
        <v>3</v>
      </c>
      <c r="AZ46" s="307">
        <f t="shared" si="4"/>
        <v>13</v>
      </c>
      <c r="BA46" s="307">
        <f t="shared" si="5"/>
        <v>13</v>
      </c>
      <c r="BB46" s="307">
        <f t="shared" si="6"/>
        <v>14</v>
      </c>
      <c r="BE46" t="s">
        <v>241</v>
      </c>
      <c r="BF46">
        <v>2019</v>
      </c>
      <c r="BG46">
        <f>BB16</f>
        <v>9</v>
      </c>
      <c r="BH46">
        <f t="shared" si="3"/>
        <v>0</v>
      </c>
    </row>
    <row r="47" spans="1:60" x14ac:dyDescent="0.2">
      <c r="A47" s="308" t="s">
        <v>362</v>
      </c>
      <c r="B47" s="309">
        <v>3.5419853472608239E-11</v>
      </c>
      <c r="C47" s="321">
        <v>2</v>
      </c>
      <c r="E47" s="317" t="s">
        <v>362</v>
      </c>
      <c r="F47" s="317">
        <v>4.1167664670658679</v>
      </c>
      <c r="G47" s="324">
        <v>5</v>
      </c>
      <c r="I47" s="308" t="s">
        <v>362</v>
      </c>
      <c r="J47" s="327">
        <v>0</v>
      </c>
      <c r="K47" s="321">
        <v>2</v>
      </c>
      <c r="M47" s="308" t="s">
        <v>362</v>
      </c>
      <c r="N47" s="334">
        <v>9.3747983384012343E-2</v>
      </c>
      <c r="O47" s="310">
        <v>5</v>
      </c>
      <c r="R47" s="308" t="s">
        <v>362</v>
      </c>
      <c r="S47" s="309">
        <v>2.9432438680452964E-11</v>
      </c>
      <c r="T47" s="321">
        <v>2</v>
      </c>
      <c r="V47" s="319" t="s">
        <v>362</v>
      </c>
      <c r="W47" s="336">
        <v>3.2692307692307692</v>
      </c>
      <c r="X47" s="319">
        <v>5</v>
      </c>
      <c r="Z47" s="310" t="s">
        <v>362</v>
      </c>
      <c r="AA47" s="341">
        <v>0</v>
      </c>
      <c r="AB47" s="310">
        <v>2</v>
      </c>
      <c r="AD47" s="310" t="s">
        <v>362</v>
      </c>
      <c r="AE47" s="334">
        <v>0.10225052219422266</v>
      </c>
      <c r="AF47" s="321">
        <v>5</v>
      </c>
      <c r="AI47" s="310" t="s">
        <v>362</v>
      </c>
      <c r="AJ47" s="309">
        <v>3.0505098235027978E-11</v>
      </c>
      <c r="AK47" s="321">
        <v>2</v>
      </c>
      <c r="AM47" s="319" t="s">
        <v>362</v>
      </c>
      <c r="AN47" s="336">
        <v>3.0035335689045937</v>
      </c>
      <c r="AO47" s="324">
        <v>5</v>
      </c>
      <c r="AQ47" s="310" t="s">
        <v>362</v>
      </c>
      <c r="AR47" s="327">
        <v>0</v>
      </c>
      <c r="AS47" s="321">
        <v>2</v>
      </c>
      <c r="AU47" s="310" t="s">
        <v>362</v>
      </c>
      <c r="AV47" s="334">
        <v>0.10869991884556322</v>
      </c>
      <c r="AW47" s="321">
        <v>5</v>
      </c>
      <c r="AZ47" s="307">
        <f t="shared" si="4"/>
        <v>14</v>
      </c>
      <c r="BA47" s="307">
        <f t="shared" si="5"/>
        <v>14</v>
      </c>
      <c r="BB47" s="307">
        <f t="shared" si="6"/>
        <v>14</v>
      </c>
      <c r="BE47" t="s">
        <v>735</v>
      </c>
      <c r="BF47">
        <v>2017</v>
      </c>
      <c r="BG47">
        <f>AZ17</f>
        <v>15</v>
      </c>
      <c r="BH47">
        <f t="shared" si="3"/>
        <v>1</v>
      </c>
    </row>
    <row r="48" spans="1:60" x14ac:dyDescent="0.2">
      <c r="A48" s="314" t="s">
        <v>154</v>
      </c>
      <c r="B48" s="315">
        <v>4.2340325733133626E-10</v>
      </c>
      <c r="C48" s="322">
        <v>3</v>
      </c>
      <c r="E48" s="317" t="s">
        <v>154</v>
      </c>
      <c r="F48" s="317">
        <v>3.82194654747788</v>
      </c>
      <c r="G48" s="324">
        <v>5</v>
      </c>
      <c r="I48" s="317" t="s">
        <v>154</v>
      </c>
      <c r="J48" s="330">
        <v>2.7807541900531085E-2</v>
      </c>
      <c r="K48" s="324">
        <v>5</v>
      </c>
      <c r="M48" s="314" t="s">
        <v>154</v>
      </c>
      <c r="N48" s="337">
        <v>0.32068000970042959</v>
      </c>
      <c r="O48" s="316">
        <v>4</v>
      </c>
      <c r="R48" s="314" t="s">
        <v>154</v>
      </c>
      <c r="S48" s="315">
        <v>3.5080785537517512E-10</v>
      </c>
      <c r="T48" s="322">
        <v>3</v>
      </c>
      <c r="V48" s="319" t="s">
        <v>154</v>
      </c>
      <c r="W48" s="336">
        <v>3.5651858799454299</v>
      </c>
      <c r="X48" s="319">
        <v>5</v>
      </c>
      <c r="Z48" s="319" t="s">
        <v>154</v>
      </c>
      <c r="AA48" s="343">
        <v>2.5710072975034401E-2</v>
      </c>
      <c r="AB48" s="319">
        <v>5</v>
      </c>
      <c r="AD48" s="313" t="s">
        <v>154</v>
      </c>
      <c r="AE48" s="335">
        <v>0.32937010098771125</v>
      </c>
      <c r="AF48" s="323">
        <v>3</v>
      </c>
      <c r="AI48" s="316" t="s">
        <v>154</v>
      </c>
      <c r="AJ48" s="315">
        <v>2.9397283132245005E-10</v>
      </c>
      <c r="AK48" s="322">
        <v>3</v>
      </c>
      <c r="AM48" s="319" t="s">
        <v>154</v>
      </c>
      <c r="AN48" s="336">
        <v>2.1526339303846309</v>
      </c>
      <c r="AO48" s="324">
        <v>5</v>
      </c>
      <c r="AQ48" s="313" t="s">
        <v>154</v>
      </c>
      <c r="AR48" s="329">
        <v>2.3975103502350023E-3</v>
      </c>
      <c r="AS48" s="323">
        <v>4</v>
      </c>
      <c r="AU48" s="354" t="s">
        <v>154</v>
      </c>
      <c r="AV48" s="355">
        <v>0.32263016515995202</v>
      </c>
      <c r="AW48" s="356">
        <v>3</v>
      </c>
      <c r="AZ48" s="307">
        <f t="shared" si="4"/>
        <v>17</v>
      </c>
      <c r="BA48" s="307">
        <f t="shared" si="5"/>
        <v>16</v>
      </c>
      <c r="BB48" s="307">
        <f t="shared" si="6"/>
        <v>15</v>
      </c>
      <c r="BE48" t="s">
        <v>735</v>
      </c>
      <c r="BF48">
        <v>2018</v>
      </c>
      <c r="BG48">
        <f>BA17</f>
        <v>16</v>
      </c>
      <c r="BH48">
        <f t="shared" si="3"/>
        <v>1</v>
      </c>
    </row>
    <row r="49" spans="1:60" x14ac:dyDescent="0.2">
      <c r="A49" s="314" t="s">
        <v>264</v>
      </c>
      <c r="B49" s="315">
        <v>2.9199677167166766E-10</v>
      </c>
      <c r="C49" s="322">
        <v>3</v>
      </c>
      <c r="E49" s="308" t="s">
        <v>264</v>
      </c>
      <c r="F49" s="308">
        <v>0.61601642710472282</v>
      </c>
      <c r="G49" s="321">
        <v>2</v>
      </c>
      <c r="I49" s="311" t="s">
        <v>264</v>
      </c>
      <c r="J49" s="329">
        <v>4.0619065599049476E-3</v>
      </c>
      <c r="K49" s="323">
        <v>4</v>
      </c>
      <c r="M49" s="314" t="s">
        <v>264</v>
      </c>
      <c r="N49" s="337">
        <v>0.23932705321367145</v>
      </c>
      <c r="O49" s="316">
        <v>4</v>
      </c>
      <c r="R49" s="314" t="s">
        <v>264</v>
      </c>
      <c r="S49" s="315">
        <v>3.1921722380592245E-10</v>
      </c>
      <c r="T49" s="322">
        <v>3</v>
      </c>
      <c r="V49" s="310" t="s">
        <v>264</v>
      </c>
      <c r="W49" s="334">
        <v>0.58317025440313108</v>
      </c>
      <c r="X49" s="310">
        <v>2</v>
      </c>
      <c r="Z49" s="313" t="s">
        <v>264</v>
      </c>
      <c r="AA49" s="340">
        <v>3.9775378551925328E-3</v>
      </c>
      <c r="AB49" s="313">
        <v>4</v>
      </c>
      <c r="AD49" s="316" t="s">
        <v>264</v>
      </c>
      <c r="AE49" s="337">
        <v>0.22545305757205911</v>
      </c>
      <c r="AF49" s="322">
        <v>4</v>
      </c>
      <c r="AI49" s="316" t="s">
        <v>264</v>
      </c>
      <c r="AJ49" s="315">
        <v>2.9571451273680826E-10</v>
      </c>
      <c r="AK49" s="322">
        <v>3</v>
      </c>
      <c r="AM49" s="313" t="s">
        <v>264</v>
      </c>
      <c r="AN49" s="335">
        <v>1.2835051546391754</v>
      </c>
      <c r="AO49" s="323">
        <v>4</v>
      </c>
      <c r="AQ49" s="313" t="s">
        <v>264</v>
      </c>
      <c r="AR49" s="329">
        <v>2.6271257852262492E-3</v>
      </c>
      <c r="AS49" s="323">
        <v>4</v>
      </c>
      <c r="AU49" s="316" t="s">
        <v>264</v>
      </c>
      <c r="AV49" s="337">
        <v>0.25666162643009222</v>
      </c>
      <c r="AW49" s="322">
        <v>4</v>
      </c>
      <c r="AZ49" s="307">
        <f t="shared" si="4"/>
        <v>13</v>
      </c>
      <c r="BA49" s="307">
        <f t="shared" si="5"/>
        <v>13</v>
      </c>
      <c r="BB49" s="307">
        <f t="shared" si="6"/>
        <v>15</v>
      </c>
      <c r="BE49" t="s">
        <v>735</v>
      </c>
      <c r="BF49">
        <v>2019</v>
      </c>
      <c r="BG49">
        <f>BB17</f>
        <v>15</v>
      </c>
      <c r="BH49">
        <f t="shared" si="3"/>
        <v>1</v>
      </c>
    </row>
    <row r="50" spans="1:60" x14ac:dyDescent="0.2">
      <c r="A50" s="317" t="s">
        <v>536</v>
      </c>
      <c r="B50" s="318">
        <v>1.2401287686830445E-9</v>
      </c>
      <c r="C50" s="324">
        <v>5</v>
      </c>
      <c r="E50" s="308" t="s">
        <v>536</v>
      </c>
      <c r="F50" s="308">
        <v>0.41666666666666669</v>
      </c>
      <c r="G50" s="321">
        <v>2</v>
      </c>
      <c r="I50" s="311" t="s">
        <v>536</v>
      </c>
      <c r="J50" s="329">
        <v>4.0425766234030618E-3</v>
      </c>
      <c r="K50" s="323">
        <v>4</v>
      </c>
      <c r="M50" s="311" t="s">
        <v>536</v>
      </c>
      <c r="N50" s="335">
        <v>0.48925742898644925</v>
      </c>
      <c r="O50" s="313">
        <v>3</v>
      </c>
      <c r="R50" s="317" t="s">
        <v>536</v>
      </c>
      <c r="S50" s="318">
        <v>1.1924477354600562E-9</v>
      </c>
      <c r="T50" s="324">
        <v>5</v>
      </c>
      <c r="V50" s="310" t="s">
        <v>536</v>
      </c>
      <c r="W50" s="334">
        <v>0.38552787663107946</v>
      </c>
      <c r="X50" s="310">
        <v>2</v>
      </c>
      <c r="Z50" s="313" t="s">
        <v>536</v>
      </c>
      <c r="AA50" s="340">
        <v>3.694802956545951E-3</v>
      </c>
      <c r="AB50" s="313">
        <v>4</v>
      </c>
      <c r="AD50" s="313" t="s">
        <v>536</v>
      </c>
      <c r="AE50" s="335">
        <v>0.47389784774130078</v>
      </c>
      <c r="AF50" s="323">
        <v>3</v>
      </c>
      <c r="AI50" s="319" t="s">
        <v>536</v>
      </c>
      <c r="AJ50" s="318">
        <v>1.1428896946758605E-9</v>
      </c>
      <c r="AK50" s="324">
        <v>5</v>
      </c>
      <c r="AM50" s="310" t="s">
        <v>536</v>
      </c>
      <c r="AN50" s="334">
        <v>0.32699832308552262</v>
      </c>
      <c r="AO50" s="321">
        <v>2</v>
      </c>
      <c r="AQ50" s="313" t="s">
        <v>536</v>
      </c>
      <c r="AR50" s="329">
        <v>3.7444271030923895E-3</v>
      </c>
      <c r="AS50" s="323">
        <v>4</v>
      </c>
      <c r="AU50" s="354" t="s">
        <v>536</v>
      </c>
      <c r="AV50" s="355">
        <v>0.48773915037991733</v>
      </c>
      <c r="AW50" s="356">
        <v>3</v>
      </c>
      <c r="AZ50" s="307">
        <f t="shared" si="4"/>
        <v>14</v>
      </c>
      <c r="BA50" s="307">
        <f t="shared" si="5"/>
        <v>14</v>
      </c>
      <c r="BB50" s="307">
        <f t="shared" si="6"/>
        <v>14</v>
      </c>
      <c r="BE50" t="s">
        <v>24</v>
      </c>
      <c r="BF50">
        <v>2017</v>
      </c>
      <c r="BG50">
        <f>AZ18</f>
        <v>13</v>
      </c>
      <c r="BH50">
        <f t="shared" si="3"/>
        <v>1</v>
      </c>
    </row>
    <row r="51" spans="1:60" x14ac:dyDescent="0.2">
      <c r="A51" s="311" t="s">
        <v>540</v>
      </c>
      <c r="B51" s="312">
        <v>7.8062517209867955E-10</v>
      </c>
      <c r="C51" s="323">
        <v>4</v>
      </c>
      <c r="E51" s="311" t="s">
        <v>540</v>
      </c>
      <c r="F51" s="311">
        <v>2.193103448275862</v>
      </c>
      <c r="G51" s="323">
        <v>4</v>
      </c>
      <c r="I51" s="308" t="s">
        <v>540</v>
      </c>
      <c r="J51" s="327">
        <v>0</v>
      </c>
      <c r="K51" s="321">
        <v>2</v>
      </c>
      <c r="M51" s="314" t="s">
        <v>540</v>
      </c>
      <c r="N51" s="337">
        <v>0.22864346533703714</v>
      </c>
      <c r="O51" s="316">
        <v>4</v>
      </c>
      <c r="R51" s="311" t="s">
        <v>540</v>
      </c>
      <c r="S51" s="312">
        <v>6.9329436477279964E-10</v>
      </c>
      <c r="T51" s="323">
        <v>4</v>
      </c>
      <c r="V51" s="313" t="s">
        <v>540</v>
      </c>
      <c r="W51" s="335">
        <v>1.2781065088757397</v>
      </c>
      <c r="X51" s="313">
        <v>4</v>
      </c>
      <c r="Z51" s="310" t="s">
        <v>540</v>
      </c>
      <c r="AA51" s="341">
        <v>0</v>
      </c>
      <c r="AB51" s="310">
        <v>2</v>
      </c>
      <c r="AD51" s="316" t="s">
        <v>540</v>
      </c>
      <c r="AE51" s="337">
        <v>0.17294075926247332</v>
      </c>
      <c r="AF51" s="322">
        <v>4</v>
      </c>
      <c r="AI51" s="313" t="s">
        <v>540</v>
      </c>
      <c r="AJ51" s="312">
        <v>6.8400842041894433E-10</v>
      </c>
      <c r="AK51" s="323">
        <v>4</v>
      </c>
      <c r="AM51" s="313" t="s">
        <v>540</v>
      </c>
      <c r="AN51" s="335">
        <v>1.3129770992366412</v>
      </c>
      <c r="AO51" s="323">
        <v>4</v>
      </c>
      <c r="AQ51" s="310" t="s">
        <v>540</v>
      </c>
      <c r="AR51" s="327">
        <v>0</v>
      </c>
      <c r="AS51" s="321">
        <v>2</v>
      </c>
      <c r="AU51" s="316" t="s">
        <v>540</v>
      </c>
      <c r="AV51" s="337">
        <v>0.24036115220268947</v>
      </c>
      <c r="AW51" s="322">
        <v>4</v>
      </c>
      <c r="AZ51" s="307">
        <f t="shared" si="4"/>
        <v>14</v>
      </c>
      <c r="BA51" s="307">
        <f t="shared" si="5"/>
        <v>14</v>
      </c>
      <c r="BB51" s="307">
        <f t="shared" si="6"/>
        <v>14</v>
      </c>
      <c r="BE51" t="s">
        <v>24</v>
      </c>
      <c r="BF51">
        <v>2018</v>
      </c>
      <c r="BG51">
        <f>BA18</f>
        <v>13</v>
      </c>
      <c r="BH51">
        <f t="shared" si="3"/>
        <v>1</v>
      </c>
    </row>
    <row r="52" spans="1:60" x14ac:dyDescent="0.2">
      <c r="A52" s="317" t="s">
        <v>542</v>
      </c>
      <c r="B52" s="318">
        <v>2.9009622722263891E-9</v>
      </c>
      <c r="C52" s="324">
        <v>5</v>
      </c>
      <c r="E52" s="317" t="s">
        <v>542</v>
      </c>
      <c r="F52" s="317">
        <v>5.3913043478260869</v>
      </c>
      <c r="G52" s="324">
        <v>5</v>
      </c>
      <c r="I52" s="317" t="s">
        <v>542</v>
      </c>
      <c r="J52" s="330">
        <v>3.8188033851959666E-2</v>
      </c>
      <c r="K52" s="324">
        <v>5</v>
      </c>
      <c r="M52" s="317" t="s">
        <v>542</v>
      </c>
      <c r="N52" s="336">
        <v>0.90182003327792448</v>
      </c>
      <c r="O52" s="319">
        <v>2</v>
      </c>
      <c r="R52" s="311" t="s">
        <v>542</v>
      </c>
      <c r="S52" s="312">
        <v>7.7059409889263169E-10</v>
      </c>
      <c r="T52" s="323">
        <v>4</v>
      </c>
      <c r="V52" s="319" t="s">
        <v>542</v>
      </c>
      <c r="W52" s="336">
        <v>3.4054054054054053</v>
      </c>
      <c r="X52" s="319">
        <v>5</v>
      </c>
      <c r="Z52" s="313" t="s">
        <v>542</v>
      </c>
      <c r="AA52" s="340">
        <v>7.637484968681693E-3</v>
      </c>
      <c r="AB52" s="313">
        <v>4</v>
      </c>
      <c r="AD52" s="319" t="s">
        <v>542</v>
      </c>
      <c r="AE52" s="336">
        <v>0.70055606319062569</v>
      </c>
      <c r="AF52" s="324">
        <v>2</v>
      </c>
      <c r="AI52" s="319" t="s">
        <v>542</v>
      </c>
      <c r="AJ52" s="318">
        <v>3.3334583878057074E-8</v>
      </c>
      <c r="AK52" s="324">
        <v>5</v>
      </c>
      <c r="AM52" s="319" t="s">
        <v>542</v>
      </c>
      <c r="AN52" s="336">
        <v>6.3157894736842106</v>
      </c>
      <c r="AO52" s="324">
        <v>5</v>
      </c>
      <c r="AQ52" s="313" t="s">
        <v>542</v>
      </c>
      <c r="AR52" s="329">
        <v>4.6814181559499367E-3</v>
      </c>
      <c r="AS52" s="323">
        <v>4</v>
      </c>
      <c r="AU52" s="319" t="s">
        <v>542</v>
      </c>
      <c r="AV52" s="336">
        <v>0.8907123645064331</v>
      </c>
      <c r="AW52" s="357">
        <v>2</v>
      </c>
      <c r="AZ52" s="307">
        <f t="shared" si="4"/>
        <v>17</v>
      </c>
      <c r="BA52" s="307">
        <f t="shared" si="5"/>
        <v>15</v>
      </c>
      <c r="BB52" s="307">
        <f t="shared" si="6"/>
        <v>16</v>
      </c>
      <c r="BE52" t="s">
        <v>24</v>
      </c>
      <c r="BF52">
        <v>2019</v>
      </c>
      <c r="BG52">
        <f>BB18</f>
        <v>14</v>
      </c>
      <c r="BH52">
        <f t="shared" si="3"/>
        <v>1</v>
      </c>
    </row>
    <row r="53" spans="1:60" x14ac:dyDescent="0.2">
      <c r="A53" s="317" t="s">
        <v>770</v>
      </c>
      <c r="B53" s="318">
        <v>1.1234008494021392E-9</v>
      </c>
      <c r="C53" s="324">
        <v>5</v>
      </c>
      <c r="E53" s="314" t="s">
        <v>770</v>
      </c>
      <c r="F53" s="314">
        <v>0.74476650563607083</v>
      </c>
      <c r="G53" s="322">
        <v>3</v>
      </c>
      <c r="I53" s="317" t="s">
        <v>770</v>
      </c>
      <c r="J53" s="330">
        <v>2.0890713705567086E-2</v>
      </c>
      <c r="K53" s="324">
        <v>5</v>
      </c>
      <c r="M53" s="317" t="s">
        <v>770</v>
      </c>
      <c r="N53" s="336">
        <v>0.58518874545981991</v>
      </c>
      <c r="O53" s="319">
        <v>2</v>
      </c>
      <c r="R53" s="317" t="s">
        <v>770</v>
      </c>
      <c r="S53" s="318">
        <v>1.0588734077289431E-9</v>
      </c>
      <c r="T53" s="324">
        <v>5</v>
      </c>
      <c r="V53" s="316" t="s">
        <v>770</v>
      </c>
      <c r="W53" s="337">
        <v>0.83864118895966033</v>
      </c>
      <c r="X53" s="316">
        <v>3</v>
      </c>
      <c r="Z53" s="319" t="s">
        <v>770</v>
      </c>
      <c r="AA53" s="343">
        <v>2.4183623174293383E-2</v>
      </c>
      <c r="AB53" s="319">
        <v>5</v>
      </c>
      <c r="AD53" s="313" t="s">
        <v>770</v>
      </c>
      <c r="AE53" s="335">
        <v>0.45213873906778962</v>
      </c>
      <c r="AF53" s="323">
        <v>3</v>
      </c>
      <c r="AI53" s="313" t="s">
        <v>770</v>
      </c>
      <c r="AJ53" s="312">
        <v>8.0837758610317661E-10</v>
      </c>
      <c r="AK53" s="323">
        <v>4</v>
      </c>
      <c r="AM53" s="316" t="s">
        <v>770</v>
      </c>
      <c r="AN53" s="337">
        <v>0.9580193756727664</v>
      </c>
      <c r="AO53" s="322">
        <v>3</v>
      </c>
      <c r="AQ53" s="319" t="s">
        <v>770</v>
      </c>
      <c r="AR53" s="330">
        <v>2.4204701387748821E-2</v>
      </c>
      <c r="AS53" s="324">
        <v>5</v>
      </c>
      <c r="AU53" s="354" t="s">
        <v>770</v>
      </c>
      <c r="AV53" s="355">
        <v>0.49058995927579091</v>
      </c>
      <c r="AW53" s="356">
        <v>3</v>
      </c>
      <c r="AZ53" s="307">
        <f t="shared" si="4"/>
        <v>15</v>
      </c>
      <c r="BA53" s="307">
        <f t="shared" si="5"/>
        <v>16</v>
      </c>
      <c r="BB53" s="307">
        <f t="shared" si="6"/>
        <v>15</v>
      </c>
      <c r="BE53" t="s">
        <v>236</v>
      </c>
      <c r="BF53">
        <v>2017</v>
      </c>
      <c r="BG53">
        <f>AZ19</f>
        <v>12</v>
      </c>
      <c r="BH53">
        <f t="shared" si="3"/>
        <v>0</v>
      </c>
    </row>
    <row r="54" spans="1:60" x14ac:dyDescent="0.2">
      <c r="A54" s="317" t="s">
        <v>774</v>
      </c>
      <c r="B54" s="318">
        <v>1.892661400272482E-9</v>
      </c>
      <c r="C54" s="324">
        <v>5</v>
      </c>
      <c r="E54" s="311" t="s">
        <v>774</v>
      </c>
      <c r="F54" s="311">
        <v>1.2416943521594683</v>
      </c>
      <c r="G54" s="323">
        <v>4</v>
      </c>
      <c r="I54" s="308" t="s">
        <v>774</v>
      </c>
      <c r="J54" s="327">
        <v>0</v>
      </c>
      <c r="K54" s="321">
        <v>2</v>
      </c>
      <c r="M54" s="308" t="s">
        <v>774</v>
      </c>
      <c r="N54" s="334">
        <v>0.11975044887160818</v>
      </c>
      <c r="O54" s="310">
        <v>5</v>
      </c>
      <c r="R54" s="314" t="s">
        <v>774</v>
      </c>
      <c r="S54" s="315">
        <v>2.3395466726592408E-10</v>
      </c>
      <c r="T54" s="322">
        <v>3</v>
      </c>
      <c r="V54" s="316" t="s">
        <v>774</v>
      </c>
      <c r="W54" s="337">
        <v>0.97269624573378843</v>
      </c>
      <c r="X54" s="316">
        <v>3</v>
      </c>
      <c r="Z54" s="310" t="s">
        <v>774</v>
      </c>
      <c r="AA54" s="341">
        <v>0</v>
      </c>
      <c r="AB54" s="310">
        <v>2</v>
      </c>
      <c r="AD54" s="310" t="s">
        <v>774</v>
      </c>
      <c r="AE54" s="334">
        <v>9.3545424081634951E-2</v>
      </c>
      <c r="AF54" s="321">
        <v>5</v>
      </c>
      <c r="AI54" s="316" t="s">
        <v>774</v>
      </c>
      <c r="AJ54" s="315">
        <v>2.5916823552063833E-10</v>
      </c>
      <c r="AK54" s="322">
        <v>3</v>
      </c>
      <c r="AM54" s="313" t="s">
        <v>774</v>
      </c>
      <c r="AN54" s="335">
        <v>1.2111692844677138</v>
      </c>
      <c r="AO54" s="323">
        <v>4</v>
      </c>
      <c r="AQ54" s="310" t="s">
        <v>774</v>
      </c>
      <c r="AR54" s="327">
        <v>0</v>
      </c>
      <c r="AS54" s="321">
        <v>2</v>
      </c>
      <c r="AU54" s="310" t="s">
        <v>774</v>
      </c>
      <c r="AV54" s="334">
        <v>0.12124499982785297</v>
      </c>
      <c r="AW54" s="321">
        <v>5</v>
      </c>
      <c r="AZ54" s="307">
        <f t="shared" si="4"/>
        <v>16</v>
      </c>
      <c r="BA54" s="307">
        <f t="shared" si="5"/>
        <v>13</v>
      </c>
      <c r="BB54" s="307">
        <f t="shared" si="6"/>
        <v>14</v>
      </c>
      <c r="BE54" t="s">
        <v>236</v>
      </c>
      <c r="BF54">
        <v>2018</v>
      </c>
      <c r="BG54">
        <f>BA19</f>
        <v>12</v>
      </c>
      <c r="BH54">
        <f t="shared" si="3"/>
        <v>0</v>
      </c>
    </row>
    <row r="55" spans="1:60" x14ac:dyDescent="0.2">
      <c r="A55" s="308" t="s">
        <v>266</v>
      </c>
      <c r="B55" s="309">
        <v>1.8830508171028794E-10</v>
      </c>
      <c r="C55" s="321">
        <v>2</v>
      </c>
      <c r="E55" s="317" t="s">
        <v>266</v>
      </c>
      <c r="F55" s="317">
        <v>9.3589743589743595</v>
      </c>
      <c r="G55" s="324">
        <v>5</v>
      </c>
      <c r="I55" s="308" t="s">
        <v>266</v>
      </c>
      <c r="J55" s="327">
        <v>0</v>
      </c>
      <c r="K55" s="321">
        <v>2</v>
      </c>
      <c r="M55" s="317" t="s">
        <v>266</v>
      </c>
      <c r="N55" s="336">
        <v>0.71409445150744821</v>
      </c>
      <c r="O55" s="319">
        <v>2</v>
      </c>
      <c r="R55" s="317" t="s">
        <v>266</v>
      </c>
      <c r="S55" s="318">
        <v>1.5469274068815076E-9</v>
      </c>
      <c r="T55" s="324">
        <v>5</v>
      </c>
      <c r="V55" s="319" t="s">
        <v>266</v>
      </c>
      <c r="W55" s="336">
        <v>6.4220183486238529</v>
      </c>
      <c r="X55" s="319">
        <v>5</v>
      </c>
      <c r="Z55" s="310" t="s">
        <v>266</v>
      </c>
      <c r="AA55" s="341">
        <v>0</v>
      </c>
      <c r="AB55" s="310">
        <v>2</v>
      </c>
      <c r="AD55" s="319" t="s">
        <v>266</v>
      </c>
      <c r="AE55" s="336">
        <v>0.77846624925359986</v>
      </c>
      <c r="AF55" s="324">
        <v>2</v>
      </c>
      <c r="AI55" s="319" t="s">
        <v>266</v>
      </c>
      <c r="AJ55" s="318">
        <v>1.4556690599637564E-9</v>
      </c>
      <c r="AK55" s="324">
        <v>5</v>
      </c>
      <c r="AM55" s="319" t="s">
        <v>266</v>
      </c>
      <c r="AN55" s="336">
        <v>5.8943089430894311</v>
      </c>
      <c r="AO55" s="324">
        <v>5</v>
      </c>
      <c r="AQ55" s="310" t="s">
        <v>266</v>
      </c>
      <c r="AR55" s="327">
        <v>0</v>
      </c>
      <c r="AS55" s="321">
        <v>2</v>
      </c>
      <c r="AU55" s="319" t="s">
        <v>266</v>
      </c>
      <c r="AV55" s="336">
        <v>0.71496118539982323</v>
      </c>
      <c r="AW55" s="357">
        <v>2</v>
      </c>
      <c r="AZ55" s="307">
        <f t="shared" si="4"/>
        <v>11</v>
      </c>
      <c r="BA55" s="307">
        <f t="shared" si="5"/>
        <v>14</v>
      </c>
      <c r="BB55" s="307">
        <f t="shared" si="6"/>
        <v>14</v>
      </c>
      <c r="BE55" t="s">
        <v>236</v>
      </c>
      <c r="BF55">
        <v>2019</v>
      </c>
      <c r="BG55">
        <f>BB19</f>
        <v>13</v>
      </c>
      <c r="BH55">
        <f t="shared" si="3"/>
        <v>1</v>
      </c>
    </row>
    <row r="56" spans="1:60" x14ac:dyDescent="0.2">
      <c r="A56" s="314" t="s">
        <v>158</v>
      </c>
      <c r="B56" s="315">
        <v>2.8470660506002717E-10</v>
      </c>
      <c r="C56" s="322">
        <v>3</v>
      </c>
      <c r="E56" s="317" t="s">
        <v>158</v>
      </c>
      <c r="F56" s="317">
        <v>16.143344709897612</v>
      </c>
      <c r="G56" s="324">
        <v>5</v>
      </c>
      <c r="I56" s="317" t="s">
        <v>158</v>
      </c>
      <c r="J56" s="330">
        <v>2.6992309450123889E-2</v>
      </c>
      <c r="K56" s="324">
        <v>5</v>
      </c>
      <c r="M56" s="308" t="s">
        <v>158</v>
      </c>
      <c r="N56" s="334">
        <v>0.15972601324172286</v>
      </c>
      <c r="O56" s="310">
        <v>5</v>
      </c>
      <c r="R56" s="314" t="s">
        <v>158</v>
      </c>
      <c r="S56" s="315">
        <v>2.4304422337805502E-10</v>
      </c>
      <c r="T56" s="322">
        <v>3</v>
      </c>
      <c r="V56" s="319" t="s">
        <v>158</v>
      </c>
      <c r="W56" s="336">
        <v>12.244224422442244</v>
      </c>
      <c r="X56" s="319">
        <v>5</v>
      </c>
      <c r="Z56" s="319" t="s">
        <v>158</v>
      </c>
      <c r="AA56" s="343">
        <v>2.3382122769400816E-2</v>
      </c>
      <c r="AB56" s="319">
        <v>5</v>
      </c>
      <c r="AD56" s="310" t="s">
        <v>158</v>
      </c>
      <c r="AE56" s="334">
        <v>0.15639606269373993</v>
      </c>
      <c r="AF56" s="321">
        <v>5</v>
      </c>
      <c r="AI56" s="316" t="s">
        <v>158</v>
      </c>
      <c r="AJ56" s="315">
        <v>2.2085673593149288E-10</v>
      </c>
      <c r="AK56" s="322">
        <v>3</v>
      </c>
      <c r="AM56" s="319" t="s">
        <v>158</v>
      </c>
      <c r="AN56" s="336">
        <v>6.8627450980392153</v>
      </c>
      <c r="AO56" s="324">
        <v>5</v>
      </c>
      <c r="AQ56" s="319" t="s">
        <v>158</v>
      </c>
      <c r="AR56" s="330">
        <v>2.4178009001654007E-2</v>
      </c>
      <c r="AS56" s="324">
        <v>5</v>
      </c>
      <c r="AU56" s="310" t="s">
        <v>158</v>
      </c>
      <c r="AV56" s="334">
        <v>0.1433695423391787</v>
      </c>
      <c r="AW56" s="321">
        <v>5</v>
      </c>
      <c r="AZ56" s="307">
        <f t="shared" si="4"/>
        <v>18</v>
      </c>
      <c r="BA56" s="307">
        <f t="shared" si="5"/>
        <v>18</v>
      </c>
      <c r="BB56" s="307">
        <f t="shared" si="6"/>
        <v>18</v>
      </c>
      <c r="BE56" t="s">
        <v>739</v>
      </c>
      <c r="BF56">
        <v>2017</v>
      </c>
      <c r="BG56">
        <f>AZ20</f>
        <v>12</v>
      </c>
      <c r="BH56">
        <f t="shared" si="3"/>
        <v>0</v>
      </c>
    </row>
    <row r="57" spans="1:60" x14ac:dyDescent="0.2">
      <c r="A57" s="311" t="s">
        <v>167</v>
      </c>
      <c r="B57" s="312">
        <v>8.2948121433578322E-10</v>
      </c>
      <c r="C57" s="323">
        <v>4</v>
      </c>
      <c r="E57" s="317" t="s">
        <v>167</v>
      </c>
      <c r="F57" s="317">
        <v>5.1090700344431692</v>
      </c>
      <c r="G57" s="324">
        <v>5</v>
      </c>
      <c r="I57" s="317" t="s">
        <v>167</v>
      </c>
      <c r="J57" s="330">
        <v>3.6839666182046676E-2</v>
      </c>
      <c r="K57" s="324">
        <v>5</v>
      </c>
      <c r="M57" s="314" t="s">
        <v>167</v>
      </c>
      <c r="N57" s="337">
        <v>0.25681147407895011</v>
      </c>
      <c r="O57" s="316">
        <v>4</v>
      </c>
      <c r="R57" s="311" t="s">
        <v>167</v>
      </c>
      <c r="S57" s="312">
        <v>8.1010778346216471E-10</v>
      </c>
      <c r="T57" s="323">
        <v>4</v>
      </c>
      <c r="V57" s="319" t="s">
        <v>167</v>
      </c>
      <c r="W57" s="336">
        <v>5.3672316384180787</v>
      </c>
      <c r="X57" s="319">
        <v>5</v>
      </c>
      <c r="Z57" s="319" t="s">
        <v>167</v>
      </c>
      <c r="AA57" s="343">
        <v>3.5387384409823371E-2</v>
      </c>
      <c r="AB57" s="319">
        <v>5</v>
      </c>
      <c r="AD57" s="313" t="s">
        <v>167</v>
      </c>
      <c r="AE57" s="335">
        <v>0.31255489798645819</v>
      </c>
      <c r="AF57" s="323">
        <v>3</v>
      </c>
      <c r="AI57" s="313" t="s">
        <v>167</v>
      </c>
      <c r="AJ57" s="312">
        <v>7.1033905408655611E-10</v>
      </c>
      <c r="AK57" s="323">
        <v>4</v>
      </c>
      <c r="AM57" s="319" t="s">
        <v>167</v>
      </c>
      <c r="AN57" s="336">
        <v>4.8753825972890246</v>
      </c>
      <c r="AO57" s="324">
        <v>5</v>
      </c>
      <c r="AQ57" s="319" t="s">
        <v>167</v>
      </c>
      <c r="AR57" s="330">
        <v>3.6495114051797374E-2</v>
      </c>
      <c r="AS57" s="324">
        <v>5</v>
      </c>
      <c r="AU57" s="316" t="s">
        <v>167</v>
      </c>
      <c r="AV57" s="337">
        <v>0.29255005655744765</v>
      </c>
      <c r="AW57" s="322">
        <v>4</v>
      </c>
      <c r="AZ57" s="307">
        <f t="shared" si="4"/>
        <v>18</v>
      </c>
      <c r="BA57" s="307">
        <f t="shared" si="5"/>
        <v>17</v>
      </c>
      <c r="BB57" s="307">
        <f t="shared" si="6"/>
        <v>18</v>
      </c>
      <c r="BE57" t="s">
        <v>739</v>
      </c>
      <c r="BF57">
        <v>2018</v>
      </c>
      <c r="BG57">
        <f>BA20</f>
        <v>13</v>
      </c>
      <c r="BH57">
        <f t="shared" si="3"/>
        <v>1</v>
      </c>
    </row>
    <row r="58" spans="1:60" x14ac:dyDescent="0.2">
      <c r="A58" s="314" t="s">
        <v>546</v>
      </c>
      <c r="B58" s="315">
        <v>4.7547314806802412E-10</v>
      </c>
      <c r="C58" s="322">
        <v>3</v>
      </c>
      <c r="E58" s="308" t="s">
        <v>546</v>
      </c>
      <c r="F58" s="308">
        <v>0.36160137752905724</v>
      </c>
      <c r="G58" s="321">
        <v>2</v>
      </c>
      <c r="I58" s="311" t="s">
        <v>546</v>
      </c>
      <c r="J58" s="329">
        <v>7.8298727658442178E-3</v>
      </c>
      <c r="K58" s="323">
        <v>4</v>
      </c>
      <c r="M58" s="308" t="s">
        <v>546</v>
      </c>
      <c r="N58" s="334">
        <v>0.14784234025182677</v>
      </c>
      <c r="O58" s="310">
        <v>5</v>
      </c>
      <c r="R58" s="314" t="s">
        <v>546</v>
      </c>
      <c r="S58" s="315">
        <v>4.0020647359069984E-10</v>
      </c>
      <c r="T58" s="322">
        <v>3</v>
      </c>
      <c r="V58" s="316" t="s">
        <v>546</v>
      </c>
      <c r="W58" s="337">
        <v>0.83591331269349844</v>
      </c>
      <c r="X58" s="316">
        <v>3</v>
      </c>
      <c r="Z58" s="313" t="s">
        <v>546</v>
      </c>
      <c r="AA58" s="340">
        <v>7.3343487580134134E-3</v>
      </c>
      <c r="AB58" s="313">
        <v>4</v>
      </c>
      <c r="AD58" s="316" t="s">
        <v>546</v>
      </c>
      <c r="AE58" s="337">
        <v>0.18964478609949437</v>
      </c>
      <c r="AF58" s="322">
        <v>4</v>
      </c>
      <c r="AI58" s="316" t="s">
        <v>546</v>
      </c>
      <c r="AJ58" s="315">
        <v>3.9457151896095342E-10</v>
      </c>
      <c r="AK58" s="322">
        <v>3</v>
      </c>
      <c r="AM58" s="310" t="s">
        <v>546</v>
      </c>
      <c r="AN58" s="334">
        <v>0.49044585987261147</v>
      </c>
      <c r="AO58" s="321">
        <v>2</v>
      </c>
      <c r="AQ58" s="313" t="s">
        <v>546</v>
      </c>
      <c r="AR58" s="329">
        <v>6.6570088521248818E-3</v>
      </c>
      <c r="AS58" s="323">
        <v>4</v>
      </c>
      <c r="AU58" s="316" t="s">
        <v>546</v>
      </c>
      <c r="AV58" s="337">
        <v>0.25216776755319842</v>
      </c>
      <c r="AW58" s="322">
        <v>4</v>
      </c>
      <c r="AZ58" s="307">
        <f t="shared" si="4"/>
        <v>14</v>
      </c>
      <c r="BA58" s="307">
        <f t="shared" si="5"/>
        <v>14</v>
      </c>
      <c r="BB58" s="307">
        <f t="shared" si="6"/>
        <v>13</v>
      </c>
      <c r="BE58" t="s">
        <v>739</v>
      </c>
      <c r="BF58">
        <v>2019</v>
      </c>
      <c r="BG58">
        <f>BB20</f>
        <v>12</v>
      </c>
      <c r="BH58">
        <f t="shared" si="3"/>
        <v>0</v>
      </c>
    </row>
    <row r="59" spans="1:60" x14ac:dyDescent="0.2">
      <c r="A59" s="314" t="s">
        <v>366</v>
      </c>
      <c r="B59" s="315">
        <v>3.7063350493538142E-10</v>
      </c>
      <c r="C59" s="322">
        <v>3</v>
      </c>
      <c r="E59" s="314" t="s">
        <v>366</v>
      </c>
      <c r="F59" s="314">
        <v>1.1728896103896105</v>
      </c>
      <c r="G59" s="322">
        <v>3</v>
      </c>
      <c r="I59" s="308" t="s">
        <v>366</v>
      </c>
      <c r="J59" s="327">
        <v>0</v>
      </c>
      <c r="K59" s="321">
        <v>2</v>
      </c>
      <c r="M59" s="317" t="s">
        <v>366</v>
      </c>
      <c r="N59" s="336">
        <v>0.68379430356424342</v>
      </c>
      <c r="O59" s="319">
        <v>2</v>
      </c>
      <c r="R59" s="314" t="s">
        <v>366</v>
      </c>
      <c r="S59" s="315">
        <v>2.7447725487237073E-10</v>
      </c>
      <c r="T59" s="322">
        <v>3</v>
      </c>
      <c r="V59" s="313" t="s">
        <v>366</v>
      </c>
      <c r="W59" s="335">
        <v>1.1828737300435415</v>
      </c>
      <c r="X59" s="313">
        <v>4</v>
      </c>
      <c r="Z59" s="310" t="s">
        <v>366</v>
      </c>
      <c r="AA59" s="341">
        <v>0</v>
      </c>
      <c r="AB59" s="310">
        <v>2</v>
      </c>
      <c r="AD59" s="319" t="s">
        <v>366</v>
      </c>
      <c r="AE59" s="336">
        <v>0.65132406971865897</v>
      </c>
      <c r="AF59" s="324">
        <v>2</v>
      </c>
      <c r="AI59" s="316" t="s">
        <v>366</v>
      </c>
      <c r="AJ59" s="315">
        <v>2.7801752649010086E-10</v>
      </c>
      <c r="AK59" s="322">
        <v>3</v>
      </c>
      <c r="AM59" s="313" t="s">
        <v>366</v>
      </c>
      <c r="AN59" s="335">
        <v>1.3357798165137615</v>
      </c>
      <c r="AO59" s="323">
        <v>4</v>
      </c>
      <c r="AQ59" s="310" t="s">
        <v>366</v>
      </c>
      <c r="AR59" s="327">
        <v>0</v>
      </c>
      <c r="AS59" s="321">
        <v>2</v>
      </c>
      <c r="AU59" s="319" t="s">
        <v>366</v>
      </c>
      <c r="AV59" s="336">
        <v>0.66021951798902945</v>
      </c>
      <c r="AW59" s="357">
        <v>2</v>
      </c>
      <c r="AZ59" s="307">
        <f t="shared" si="4"/>
        <v>10</v>
      </c>
      <c r="BA59" s="307">
        <f t="shared" si="5"/>
        <v>11</v>
      </c>
      <c r="BB59" s="307">
        <f t="shared" si="6"/>
        <v>11</v>
      </c>
      <c r="BE59" t="s">
        <v>743</v>
      </c>
      <c r="BF59">
        <v>2017</v>
      </c>
      <c r="BG59">
        <f>AZ21</f>
        <v>15</v>
      </c>
      <c r="BH59">
        <f t="shared" si="3"/>
        <v>1</v>
      </c>
    </row>
    <row r="60" spans="1:60" x14ac:dyDescent="0.2">
      <c r="A60" s="317" t="s">
        <v>176</v>
      </c>
      <c r="B60" s="318">
        <v>1.2096038022518766E-9</v>
      </c>
      <c r="C60" s="324">
        <v>5</v>
      </c>
      <c r="E60" s="311" t="s">
        <v>176</v>
      </c>
      <c r="F60" s="311">
        <v>1.431924882629108</v>
      </c>
      <c r="G60" s="323">
        <v>4</v>
      </c>
      <c r="I60" s="317" t="s">
        <v>176</v>
      </c>
      <c r="J60" s="330">
        <v>2.0640701052157834E-2</v>
      </c>
      <c r="K60" s="324">
        <v>5</v>
      </c>
      <c r="M60" s="311" t="s">
        <v>176</v>
      </c>
      <c r="N60" s="335">
        <v>0.33872499917215804</v>
      </c>
      <c r="O60" s="313">
        <v>3</v>
      </c>
      <c r="R60" s="317" t="s">
        <v>176</v>
      </c>
      <c r="S60" s="318">
        <v>1.2428276864790615E-9</v>
      </c>
      <c r="T60" s="324">
        <v>5</v>
      </c>
      <c r="V60" s="313" t="s">
        <v>176</v>
      </c>
      <c r="W60" s="335">
        <v>1.3104661389621812</v>
      </c>
      <c r="X60" s="313">
        <v>4</v>
      </c>
      <c r="Z60" s="319" t="s">
        <v>176</v>
      </c>
      <c r="AA60" s="343">
        <v>2.1148371855809589E-2</v>
      </c>
      <c r="AB60" s="319">
        <v>5</v>
      </c>
      <c r="AD60" s="313" t="s">
        <v>176</v>
      </c>
      <c r="AE60" s="335">
        <v>0.4390843561417126</v>
      </c>
      <c r="AF60" s="323">
        <v>3</v>
      </c>
      <c r="AI60" s="319" t="s">
        <v>176</v>
      </c>
      <c r="AJ60" s="318">
        <v>1.1581221797748891E-9</v>
      </c>
      <c r="AK60" s="324">
        <v>5</v>
      </c>
      <c r="AM60" s="313" t="s">
        <v>176</v>
      </c>
      <c r="AN60" s="335">
        <v>1.2838166207678601</v>
      </c>
      <c r="AO60" s="323">
        <v>4</v>
      </c>
      <c r="AQ60" s="319" t="s">
        <v>176</v>
      </c>
      <c r="AR60" s="330">
        <v>2.2160863228217267E-2</v>
      </c>
      <c r="AS60" s="324">
        <v>5</v>
      </c>
      <c r="AU60" s="354" t="s">
        <v>176</v>
      </c>
      <c r="AV60" s="355">
        <v>0.44774583369798709</v>
      </c>
      <c r="AW60" s="356">
        <v>3</v>
      </c>
      <c r="AZ60" s="307">
        <f t="shared" si="4"/>
        <v>17</v>
      </c>
      <c r="BA60" s="307">
        <f t="shared" si="5"/>
        <v>17</v>
      </c>
      <c r="BB60" s="307">
        <f t="shared" si="6"/>
        <v>17</v>
      </c>
      <c r="BE60" t="s">
        <v>743</v>
      </c>
      <c r="BF60">
        <v>2018</v>
      </c>
      <c r="BG60">
        <f>BA21</f>
        <v>15</v>
      </c>
      <c r="BH60">
        <f t="shared" si="3"/>
        <v>1</v>
      </c>
    </row>
    <row r="61" spans="1:60" x14ac:dyDescent="0.2">
      <c r="A61" s="311" t="s">
        <v>549</v>
      </c>
      <c r="B61" s="312">
        <v>7.3372922953587236E-10</v>
      </c>
      <c r="C61" s="323">
        <v>4</v>
      </c>
      <c r="E61" s="308" t="s">
        <v>549</v>
      </c>
      <c r="F61" s="308">
        <v>0.21378484693004959</v>
      </c>
      <c r="G61" s="321">
        <v>2</v>
      </c>
      <c r="I61" s="308" t="s">
        <v>549</v>
      </c>
      <c r="J61" s="327">
        <v>0</v>
      </c>
      <c r="K61" s="321">
        <v>2</v>
      </c>
      <c r="M61" s="317" t="s">
        <v>549</v>
      </c>
      <c r="N61" s="336">
        <v>0.59520486441643983</v>
      </c>
      <c r="O61" s="319">
        <v>2</v>
      </c>
      <c r="R61" s="311" t="s">
        <v>549</v>
      </c>
      <c r="S61" s="312">
        <v>6.1632809953459241E-10</v>
      </c>
      <c r="T61" s="323">
        <v>4</v>
      </c>
      <c r="V61" s="316" t="s">
        <v>549</v>
      </c>
      <c r="W61" s="337">
        <v>0.76294102498068506</v>
      </c>
      <c r="X61" s="316">
        <v>3</v>
      </c>
      <c r="Z61" s="310" t="s">
        <v>549</v>
      </c>
      <c r="AA61" s="341">
        <v>0</v>
      </c>
      <c r="AB61" s="310">
        <v>2</v>
      </c>
      <c r="AD61" s="319" t="s">
        <v>549</v>
      </c>
      <c r="AE61" s="336">
        <v>0.56061143489653775</v>
      </c>
      <c r="AF61" s="324">
        <v>2</v>
      </c>
      <c r="AI61" s="313" t="s">
        <v>549</v>
      </c>
      <c r="AJ61" s="312">
        <v>6.9595484124918636E-10</v>
      </c>
      <c r="AK61" s="323">
        <v>4</v>
      </c>
      <c r="AM61" s="310" t="s">
        <v>549</v>
      </c>
      <c r="AN61" s="334">
        <v>0.30701200252684774</v>
      </c>
      <c r="AO61" s="321">
        <v>2</v>
      </c>
      <c r="AQ61" s="310" t="s">
        <v>549</v>
      </c>
      <c r="AR61" s="327">
        <v>0</v>
      </c>
      <c r="AS61" s="321">
        <v>2</v>
      </c>
      <c r="AU61" s="319" t="s">
        <v>549</v>
      </c>
      <c r="AV61" s="336">
        <v>0.63569816040901517</v>
      </c>
      <c r="AW61" s="357">
        <v>2</v>
      </c>
      <c r="AZ61" s="307">
        <f t="shared" si="4"/>
        <v>10</v>
      </c>
      <c r="BA61" s="307">
        <f t="shared" si="5"/>
        <v>11</v>
      </c>
      <c r="BB61" s="307">
        <f t="shared" si="6"/>
        <v>10</v>
      </c>
      <c r="BE61" t="s">
        <v>743</v>
      </c>
      <c r="BF61">
        <v>2019</v>
      </c>
      <c r="BG61">
        <f>BB21</f>
        <v>14</v>
      </c>
      <c r="BH61">
        <f t="shared" si="3"/>
        <v>1</v>
      </c>
    </row>
    <row r="62" spans="1:60" x14ac:dyDescent="0.2">
      <c r="A62" s="311" t="s">
        <v>368</v>
      </c>
      <c r="B62" s="312">
        <v>4.7957360009754831E-10</v>
      </c>
      <c r="C62" s="323">
        <v>4</v>
      </c>
      <c r="E62" s="314" t="s">
        <v>368</v>
      </c>
      <c r="F62" s="314">
        <v>1.0625</v>
      </c>
      <c r="G62" s="322">
        <v>3</v>
      </c>
      <c r="I62" s="308" t="s">
        <v>368</v>
      </c>
      <c r="J62" s="327">
        <v>0</v>
      </c>
      <c r="K62" s="321">
        <v>2</v>
      </c>
      <c r="M62" s="308" t="s">
        <v>368</v>
      </c>
      <c r="N62" s="334">
        <v>0.16794916400436419</v>
      </c>
      <c r="O62" s="310">
        <v>5</v>
      </c>
      <c r="R62" s="308" t="s">
        <v>368</v>
      </c>
      <c r="S62" s="309">
        <v>2.0583553846880956E-10</v>
      </c>
      <c r="T62" s="321">
        <v>2</v>
      </c>
      <c r="V62" s="310" t="s">
        <v>368</v>
      </c>
      <c r="W62" s="334">
        <v>0.50381436745073105</v>
      </c>
      <c r="X62" s="310">
        <v>2</v>
      </c>
      <c r="Z62" s="310" t="s">
        <v>368</v>
      </c>
      <c r="AA62" s="341">
        <v>0</v>
      </c>
      <c r="AB62" s="310">
        <v>2</v>
      </c>
      <c r="AD62" s="310" t="s">
        <v>368</v>
      </c>
      <c r="AE62" s="334">
        <v>0.1708337099810131</v>
      </c>
      <c r="AF62" s="321">
        <v>5</v>
      </c>
      <c r="AI62" s="316" t="s">
        <v>368</v>
      </c>
      <c r="AJ62" s="315">
        <v>2.1514234251591848E-10</v>
      </c>
      <c r="AK62" s="322">
        <v>3</v>
      </c>
      <c r="AM62" s="310" t="s">
        <v>368</v>
      </c>
      <c r="AN62" s="334">
        <v>0.42709077912794852</v>
      </c>
      <c r="AO62" s="321">
        <v>2</v>
      </c>
      <c r="AQ62" s="310" t="s">
        <v>368</v>
      </c>
      <c r="AR62" s="327">
        <v>0</v>
      </c>
      <c r="AS62" s="321">
        <v>2</v>
      </c>
      <c r="AU62" s="316" t="s">
        <v>368</v>
      </c>
      <c r="AV62" s="337">
        <v>0.18878794200614954</v>
      </c>
      <c r="AW62" s="322">
        <v>4</v>
      </c>
      <c r="AZ62" s="307">
        <f t="shared" si="4"/>
        <v>14</v>
      </c>
      <c r="BA62" s="307">
        <f t="shared" si="5"/>
        <v>11</v>
      </c>
      <c r="BB62" s="307">
        <f t="shared" si="6"/>
        <v>11</v>
      </c>
      <c r="BE62" t="s">
        <v>526</v>
      </c>
      <c r="BF62">
        <v>2017</v>
      </c>
      <c r="BG62">
        <f>AZ22</f>
        <v>12</v>
      </c>
      <c r="BH62">
        <f t="shared" si="3"/>
        <v>0</v>
      </c>
    </row>
    <row r="63" spans="1:60" x14ac:dyDescent="0.2">
      <c r="A63" s="314" t="s">
        <v>451</v>
      </c>
      <c r="B63" s="315">
        <v>3.0629419227803094E-10</v>
      </c>
      <c r="C63" s="322">
        <v>3</v>
      </c>
      <c r="E63" s="314" t="s">
        <v>451</v>
      </c>
      <c r="F63" s="314">
        <v>0.70634401569653371</v>
      </c>
      <c r="G63" s="322">
        <v>3</v>
      </c>
      <c r="I63" s="308" t="s">
        <v>451</v>
      </c>
      <c r="J63" s="327">
        <v>0</v>
      </c>
      <c r="K63" s="321">
        <v>2</v>
      </c>
      <c r="M63" s="311" t="s">
        <v>451</v>
      </c>
      <c r="N63" s="335">
        <v>0.50242840278974865</v>
      </c>
      <c r="O63" s="313">
        <v>3</v>
      </c>
      <c r="R63" s="314" t="s">
        <v>451</v>
      </c>
      <c r="S63" s="315">
        <v>2.4811897644016239E-10</v>
      </c>
      <c r="T63" s="322">
        <v>3</v>
      </c>
      <c r="V63" s="313" t="s">
        <v>451</v>
      </c>
      <c r="W63" s="335">
        <v>1.1522346368715084</v>
      </c>
      <c r="X63" s="313">
        <v>4</v>
      </c>
      <c r="Z63" s="310" t="s">
        <v>451</v>
      </c>
      <c r="AA63" s="341">
        <v>0</v>
      </c>
      <c r="AB63" s="310">
        <v>2</v>
      </c>
      <c r="AD63" s="313" t="s">
        <v>451</v>
      </c>
      <c r="AE63" s="335">
        <v>0.44950281755952137</v>
      </c>
      <c r="AF63" s="323">
        <v>3</v>
      </c>
      <c r="AI63" s="316" t="s">
        <v>451</v>
      </c>
      <c r="AJ63" s="315">
        <v>2.6591404039024109E-10</v>
      </c>
      <c r="AK63" s="322">
        <v>3</v>
      </c>
      <c r="AM63" s="316" t="s">
        <v>451</v>
      </c>
      <c r="AN63" s="337">
        <v>0.75416258570029382</v>
      </c>
      <c r="AO63" s="322">
        <v>3</v>
      </c>
      <c r="AQ63" s="310" t="s">
        <v>451</v>
      </c>
      <c r="AR63" s="327">
        <v>0</v>
      </c>
      <c r="AS63" s="321">
        <v>2</v>
      </c>
      <c r="AU63" s="354" t="s">
        <v>451</v>
      </c>
      <c r="AV63" s="355">
        <v>0.429827394569545</v>
      </c>
      <c r="AW63" s="356">
        <v>3</v>
      </c>
      <c r="AZ63" s="307">
        <f t="shared" si="4"/>
        <v>11</v>
      </c>
      <c r="BA63" s="307">
        <f t="shared" si="5"/>
        <v>12</v>
      </c>
      <c r="BB63" s="307">
        <f t="shared" si="6"/>
        <v>11</v>
      </c>
      <c r="BE63" t="s">
        <v>526</v>
      </c>
      <c r="BF63">
        <v>2018</v>
      </c>
      <c r="BG63">
        <f>BA22</f>
        <v>10</v>
      </c>
      <c r="BH63">
        <f t="shared" si="3"/>
        <v>0</v>
      </c>
    </row>
    <row r="64" spans="1:60" x14ac:dyDescent="0.2">
      <c r="A64" s="314" t="s">
        <v>455</v>
      </c>
      <c r="B64" s="315">
        <v>4.2283353767053922E-10</v>
      </c>
      <c r="C64" s="322">
        <v>3</v>
      </c>
      <c r="E64" s="317" t="s">
        <v>455</v>
      </c>
      <c r="F64" s="317">
        <v>3.2908545727136431</v>
      </c>
      <c r="G64" s="324">
        <v>5</v>
      </c>
      <c r="I64" s="311" t="s">
        <v>455</v>
      </c>
      <c r="J64" s="329">
        <v>7.5078245339216506E-3</v>
      </c>
      <c r="K64" s="323">
        <v>4</v>
      </c>
      <c r="M64" s="311" t="s">
        <v>455</v>
      </c>
      <c r="N64" s="335">
        <v>0.51897246213545356</v>
      </c>
      <c r="O64" s="313">
        <v>3</v>
      </c>
      <c r="R64" s="314" t="s">
        <v>455</v>
      </c>
      <c r="S64" s="315">
        <v>3.7418657703743898E-10</v>
      </c>
      <c r="T64" s="322">
        <v>3</v>
      </c>
      <c r="V64" s="319" t="s">
        <v>455</v>
      </c>
      <c r="W64" s="336">
        <v>2.924857324032974</v>
      </c>
      <c r="X64" s="319">
        <v>5</v>
      </c>
      <c r="Z64" s="313" t="s">
        <v>455</v>
      </c>
      <c r="AA64" s="340">
        <v>6.7386499645859131E-3</v>
      </c>
      <c r="AB64" s="313">
        <v>4</v>
      </c>
      <c r="AD64" s="313" t="s">
        <v>455</v>
      </c>
      <c r="AE64" s="335">
        <v>0.52673416494167635</v>
      </c>
      <c r="AF64" s="323">
        <v>3</v>
      </c>
      <c r="AI64" s="316" t="s">
        <v>455</v>
      </c>
      <c r="AJ64" s="315">
        <v>3.2912262157774583E-10</v>
      </c>
      <c r="AK64" s="322">
        <v>3</v>
      </c>
      <c r="AM64" s="319" t="s">
        <v>455</v>
      </c>
      <c r="AN64" s="336">
        <v>3.0347742861700429</v>
      </c>
      <c r="AO64" s="324">
        <v>5</v>
      </c>
      <c r="AQ64" s="313" t="s">
        <v>455</v>
      </c>
      <c r="AR64" s="329">
        <v>6.3132444313280566E-3</v>
      </c>
      <c r="AS64" s="323">
        <v>4</v>
      </c>
      <c r="AU64" s="354" t="s">
        <v>455</v>
      </c>
      <c r="AV64" s="355">
        <v>0.50816679478365423</v>
      </c>
      <c r="AW64" s="356">
        <v>3</v>
      </c>
      <c r="AZ64" s="307">
        <f t="shared" si="4"/>
        <v>15</v>
      </c>
      <c r="BA64" s="307">
        <f t="shared" si="5"/>
        <v>15</v>
      </c>
      <c r="BB64" s="307">
        <f t="shared" si="6"/>
        <v>15</v>
      </c>
      <c r="BE64" t="s">
        <v>526</v>
      </c>
      <c r="BF64">
        <v>2019</v>
      </c>
      <c r="BG64">
        <f>BB22</f>
        <v>12</v>
      </c>
      <c r="BH64">
        <f t="shared" si="3"/>
        <v>0</v>
      </c>
    </row>
    <row r="65" spans="1:60" x14ac:dyDescent="0.2">
      <c r="A65" s="314" t="s">
        <v>459</v>
      </c>
      <c r="B65" s="315">
        <v>4.6196327555324831E-10</v>
      </c>
      <c r="C65" s="322">
        <v>3</v>
      </c>
      <c r="E65" s="308" t="s">
        <v>459</v>
      </c>
      <c r="F65" s="308">
        <v>0.38138138138138139</v>
      </c>
      <c r="G65" s="321">
        <v>2</v>
      </c>
      <c r="I65" s="311" t="s">
        <v>459</v>
      </c>
      <c r="J65" s="329">
        <v>7.6548678602941737E-3</v>
      </c>
      <c r="K65" s="323">
        <v>4</v>
      </c>
      <c r="M65" s="317" t="s">
        <v>459</v>
      </c>
      <c r="N65" s="336">
        <v>0.64928530098832193</v>
      </c>
      <c r="O65" s="319">
        <v>2</v>
      </c>
      <c r="R65" s="314" t="s">
        <v>459</v>
      </c>
      <c r="S65" s="315">
        <v>3.9833014182797487E-10</v>
      </c>
      <c r="T65" s="322">
        <v>3</v>
      </c>
      <c r="V65" s="310" t="s">
        <v>459</v>
      </c>
      <c r="W65" s="334">
        <v>0.2445054945054945</v>
      </c>
      <c r="X65" s="310">
        <v>2</v>
      </c>
      <c r="Z65" s="313" t="s">
        <v>459</v>
      </c>
      <c r="AA65" s="340">
        <v>6.8780359896475777E-3</v>
      </c>
      <c r="AB65" s="313">
        <v>4</v>
      </c>
      <c r="AD65" s="319" t="s">
        <v>459</v>
      </c>
      <c r="AE65" s="336">
        <v>0.61903410959259186</v>
      </c>
      <c r="AF65" s="324">
        <v>2</v>
      </c>
      <c r="AI65" s="313" t="s">
        <v>459</v>
      </c>
      <c r="AJ65" s="312">
        <v>4.2764627246777734E-10</v>
      </c>
      <c r="AK65" s="323">
        <v>4</v>
      </c>
      <c r="AM65" s="310" t="s">
        <v>459</v>
      </c>
      <c r="AN65" s="334">
        <v>0.26345609065155806</v>
      </c>
      <c r="AO65" s="321">
        <v>2</v>
      </c>
      <c r="AQ65" s="313" t="s">
        <v>459</v>
      </c>
      <c r="AR65" s="329">
        <v>6.850567342573108E-3</v>
      </c>
      <c r="AS65" s="323">
        <v>4</v>
      </c>
      <c r="AU65" s="319" t="s">
        <v>459</v>
      </c>
      <c r="AV65" s="336">
        <v>0.61241572297831048</v>
      </c>
      <c r="AW65" s="357">
        <v>2</v>
      </c>
      <c r="AZ65" s="307">
        <f t="shared" si="4"/>
        <v>11</v>
      </c>
      <c r="BA65" s="307">
        <f t="shared" si="5"/>
        <v>11</v>
      </c>
      <c r="BB65" s="307">
        <f t="shared" si="6"/>
        <v>12</v>
      </c>
      <c r="BE65" t="s">
        <v>412</v>
      </c>
      <c r="BF65">
        <v>2017</v>
      </c>
      <c r="BG65">
        <f>AZ23</f>
        <v>11</v>
      </c>
      <c r="BH65">
        <f t="shared" si="3"/>
        <v>0</v>
      </c>
    </row>
    <row r="66" spans="1:60" x14ac:dyDescent="0.2">
      <c r="A66" s="308" t="s">
        <v>276</v>
      </c>
      <c r="B66" s="309">
        <v>1.4753009229602869E-10</v>
      </c>
      <c r="C66" s="321">
        <v>2</v>
      </c>
      <c r="E66" s="311" t="s">
        <v>276</v>
      </c>
      <c r="F66" s="311">
        <v>1.7608217168011739</v>
      </c>
      <c r="G66" s="323">
        <v>4</v>
      </c>
      <c r="I66" s="311" t="s">
        <v>276</v>
      </c>
      <c r="J66" s="329">
        <v>1.1404961649193289E-2</v>
      </c>
      <c r="K66" s="323">
        <v>4</v>
      </c>
      <c r="M66" s="317" t="s">
        <v>276</v>
      </c>
      <c r="N66" s="336">
        <v>0.70846780879350291</v>
      </c>
      <c r="O66" s="319">
        <v>2</v>
      </c>
      <c r="R66" s="308" t="s">
        <v>276</v>
      </c>
      <c r="S66" s="309">
        <v>1.5989938612032705E-10</v>
      </c>
      <c r="T66" s="321">
        <v>2</v>
      </c>
      <c r="V66" s="316" t="s">
        <v>276</v>
      </c>
      <c r="W66" s="337">
        <v>0.754590237348858</v>
      </c>
      <c r="X66" s="316">
        <v>3</v>
      </c>
      <c r="Z66" s="319" t="s">
        <v>276</v>
      </c>
      <c r="AA66" s="343">
        <v>1.5277392374640287E-2</v>
      </c>
      <c r="AB66" s="319">
        <v>5</v>
      </c>
      <c r="AD66" s="319" t="s">
        <v>276</v>
      </c>
      <c r="AE66" s="336">
        <v>0.69438496012398443</v>
      </c>
      <c r="AF66" s="324">
        <v>2</v>
      </c>
      <c r="AI66" s="310" t="s">
        <v>276</v>
      </c>
      <c r="AJ66" s="309">
        <v>1.419735929882811E-10</v>
      </c>
      <c r="AK66" s="321">
        <v>2</v>
      </c>
      <c r="AM66" s="316" t="s">
        <v>276</v>
      </c>
      <c r="AN66" s="337">
        <v>1.1538461538461537</v>
      </c>
      <c r="AO66" s="322">
        <v>3</v>
      </c>
      <c r="AQ66" s="313" t="s">
        <v>276</v>
      </c>
      <c r="AR66" s="329">
        <v>9.9094351675558332E-3</v>
      </c>
      <c r="AS66" s="323">
        <v>4</v>
      </c>
      <c r="AU66" s="319" t="s">
        <v>276</v>
      </c>
      <c r="AV66" s="336">
        <v>0.68064389537197711</v>
      </c>
      <c r="AW66" s="357">
        <v>2</v>
      </c>
      <c r="AZ66" s="307">
        <f t="shared" ref="AZ66:AZ97" si="7">C66+G66+K66+O66</f>
        <v>12</v>
      </c>
      <c r="BA66" s="307">
        <f t="shared" ref="BA66:BA97" si="8">T66+X66+AB66+AF66</f>
        <v>12</v>
      </c>
      <c r="BB66" s="307">
        <f t="shared" ref="BB66:BB97" si="9">AK66+AO66+AS66+AW66</f>
        <v>11</v>
      </c>
      <c r="BE66" t="s">
        <v>412</v>
      </c>
      <c r="BF66">
        <v>2018</v>
      </c>
      <c r="BG66">
        <f>BA23</f>
        <v>11</v>
      </c>
      <c r="BH66">
        <f t="shared" ref="BH66:BH129" si="10">IF(BG66&gt;=BC$2,1,0)</f>
        <v>0</v>
      </c>
    </row>
    <row r="67" spans="1:60" x14ac:dyDescent="0.2">
      <c r="A67" s="308" t="s">
        <v>372</v>
      </c>
      <c r="B67" s="309">
        <v>1.2074068095927279E-10</v>
      </c>
      <c r="C67" s="321">
        <v>2</v>
      </c>
      <c r="E67" s="311" t="s">
        <v>372</v>
      </c>
      <c r="F67" s="311">
        <v>1.814039085093331</v>
      </c>
      <c r="G67" s="323">
        <v>4</v>
      </c>
      <c r="I67" s="308" t="s">
        <v>372</v>
      </c>
      <c r="J67" s="327">
        <v>0</v>
      </c>
      <c r="K67" s="321">
        <v>2</v>
      </c>
      <c r="M67" s="308" t="s">
        <v>372</v>
      </c>
      <c r="N67" s="334">
        <v>0.16379116822935488</v>
      </c>
      <c r="O67" s="310">
        <v>5</v>
      </c>
      <c r="R67" s="317" t="s">
        <v>372</v>
      </c>
      <c r="S67" s="318">
        <v>9.769625430705995E-8</v>
      </c>
      <c r="T67" s="324">
        <v>5</v>
      </c>
      <c r="V67" s="313" t="s">
        <v>372</v>
      </c>
      <c r="W67" s="335">
        <v>1.6225961538461537</v>
      </c>
      <c r="X67" s="313">
        <v>4</v>
      </c>
      <c r="Z67" s="310" t="s">
        <v>372</v>
      </c>
      <c r="AA67" s="341">
        <v>0</v>
      </c>
      <c r="AB67" s="310">
        <v>2</v>
      </c>
      <c r="AD67" s="310" t="s">
        <v>372</v>
      </c>
      <c r="AE67" s="334">
        <v>0.15754459607077703</v>
      </c>
      <c r="AF67" s="321">
        <v>5</v>
      </c>
      <c r="AI67" s="310" t="s">
        <v>372</v>
      </c>
      <c r="AJ67" s="309">
        <v>1.2123242961214018E-10</v>
      </c>
      <c r="AK67" s="321">
        <v>2</v>
      </c>
      <c r="AM67" s="316" t="s">
        <v>372</v>
      </c>
      <c r="AN67" s="337">
        <v>1.0513055428309666</v>
      </c>
      <c r="AO67" s="322">
        <v>3</v>
      </c>
      <c r="AQ67" s="310" t="s">
        <v>372</v>
      </c>
      <c r="AR67" s="327">
        <v>0</v>
      </c>
      <c r="AS67" s="321">
        <v>2</v>
      </c>
      <c r="AU67" s="316" t="s">
        <v>372</v>
      </c>
      <c r="AV67" s="337">
        <v>0.19642030040362601</v>
      </c>
      <c r="AW67" s="322">
        <v>4</v>
      </c>
      <c r="AZ67" s="307">
        <f t="shared" si="7"/>
        <v>13</v>
      </c>
      <c r="BA67" s="307">
        <f t="shared" si="8"/>
        <v>16</v>
      </c>
      <c r="BB67" s="307">
        <f t="shared" si="9"/>
        <v>11</v>
      </c>
      <c r="BE67" t="s">
        <v>412</v>
      </c>
      <c r="BF67">
        <v>2019</v>
      </c>
      <c r="BG67">
        <f>BB23</f>
        <v>12</v>
      </c>
      <c r="BH67">
        <f t="shared" si="10"/>
        <v>0</v>
      </c>
    </row>
    <row r="68" spans="1:60" x14ac:dyDescent="0.2">
      <c r="A68" s="311" t="s">
        <v>465</v>
      </c>
      <c r="B68" s="312">
        <v>7.254070981662206E-10</v>
      </c>
      <c r="C68" s="323">
        <v>4</v>
      </c>
      <c r="E68" s="311" t="s">
        <v>465</v>
      </c>
      <c r="F68" s="311">
        <v>1.5568862275449102</v>
      </c>
      <c r="G68" s="323">
        <v>4</v>
      </c>
      <c r="I68" s="314" t="s">
        <v>465</v>
      </c>
      <c r="J68" s="328">
        <v>6.8301229942361989E-4</v>
      </c>
      <c r="K68" s="322">
        <v>3</v>
      </c>
      <c r="M68" s="311" t="s">
        <v>465</v>
      </c>
      <c r="N68" s="335">
        <v>0.39575510684071741</v>
      </c>
      <c r="O68" s="313">
        <v>3</v>
      </c>
      <c r="R68" s="311" t="s">
        <v>465</v>
      </c>
      <c r="S68" s="312">
        <v>7.3489623736125323E-10</v>
      </c>
      <c r="T68" s="323">
        <v>4</v>
      </c>
      <c r="V68" s="319" t="s">
        <v>465</v>
      </c>
      <c r="W68" s="336">
        <v>2.4684270952927667</v>
      </c>
      <c r="X68" s="319">
        <v>5</v>
      </c>
      <c r="Z68" s="316" t="s">
        <v>465</v>
      </c>
      <c r="AA68" s="342">
        <v>4.1760546309326457E-4</v>
      </c>
      <c r="AB68" s="316">
        <v>3</v>
      </c>
      <c r="AD68" s="313" t="s">
        <v>465</v>
      </c>
      <c r="AE68" s="335">
        <v>0.34444584406269496</v>
      </c>
      <c r="AF68" s="323">
        <v>3</v>
      </c>
      <c r="AI68" s="313" t="s">
        <v>465</v>
      </c>
      <c r="AJ68" s="312">
        <v>7.6129696022005656E-10</v>
      </c>
      <c r="AK68" s="323">
        <v>4</v>
      </c>
      <c r="AM68" s="313" t="s">
        <v>465</v>
      </c>
      <c r="AN68" s="335">
        <v>1.5727459016393444</v>
      </c>
      <c r="AO68" s="323">
        <v>4</v>
      </c>
      <c r="AQ68" s="316" t="s">
        <v>465</v>
      </c>
      <c r="AR68" s="328">
        <v>4.5473150333750551E-4</v>
      </c>
      <c r="AS68" s="322">
        <v>3</v>
      </c>
      <c r="AU68" s="354" t="s">
        <v>465</v>
      </c>
      <c r="AV68" s="355">
        <v>0.3995468891831645</v>
      </c>
      <c r="AW68" s="356">
        <v>3</v>
      </c>
      <c r="AZ68" s="307">
        <f t="shared" si="7"/>
        <v>14</v>
      </c>
      <c r="BA68" s="307">
        <f t="shared" si="8"/>
        <v>15</v>
      </c>
      <c r="BB68" s="307">
        <f t="shared" si="9"/>
        <v>14</v>
      </c>
      <c r="BE68" t="s">
        <v>615</v>
      </c>
      <c r="BF68">
        <v>2017</v>
      </c>
      <c r="BG68">
        <f>AZ24</f>
        <v>17</v>
      </c>
      <c r="BH68">
        <f t="shared" si="10"/>
        <v>1</v>
      </c>
    </row>
    <row r="69" spans="1:60" x14ac:dyDescent="0.2">
      <c r="A69" s="314" t="s">
        <v>649</v>
      </c>
      <c r="B69" s="315">
        <v>4.77365916724463E-10</v>
      </c>
      <c r="C69" s="322">
        <v>3</v>
      </c>
      <c r="E69" s="317" t="s">
        <v>649</v>
      </c>
      <c r="F69" s="317">
        <v>3.6734693877551021</v>
      </c>
      <c r="G69" s="324">
        <v>5</v>
      </c>
      <c r="I69" s="308" t="s">
        <v>649</v>
      </c>
      <c r="J69" s="327">
        <v>0</v>
      </c>
      <c r="K69" s="321">
        <v>2</v>
      </c>
      <c r="M69" s="314" t="s">
        <v>649</v>
      </c>
      <c r="N69" s="337">
        <v>0.17427948096025453</v>
      </c>
      <c r="O69" s="316">
        <v>4</v>
      </c>
      <c r="R69" s="314" t="s">
        <v>649</v>
      </c>
      <c r="S69" s="315">
        <v>4.1436680293560108E-10</v>
      </c>
      <c r="T69" s="322">
        <v>3</v>
      </c>
      <c r="V69" s="313" t="s">
        <v>649</v>
      </c>
      <c r="W69" s="335">
        <v>2.3037974683544302</v>
      </c>
      <c r="X69" s="313">
        <v>4</v>
      </c>
      <c r="Z69" s="310" t="s">
        <v>649</v>
      </c>
      <c r="AA69" s="341">
        <v>0</v>
      </c>
      <c r="AB69" s="310">
        <v>2</v>
      </c>
      <c r="AD69" s="310" t="s">
        <v>649</v>
      </c>
      <c r="AE69" s="334">
        <v>0.15549111297836812</v>
      </c>
      <c r="AF69" s="321">
        <v>5</v>
      </c>
      <c r="AI69" s="316" t="s">
        <v>649</v>
      </c>
      <c r="AJ69" s="315">
        <v>3.8513392552442098E-10</v>
      </c>
      <c r="AK69" s="322">
        <v>3</v>
      </c>
      <c r="AM69" s="319" t="s">
        <v>649</v>
      </c>
      <c r="AN69" s="336">
        <v>3.0303030303030303</v>
      </c>
      <c r="AO69" s="324">
        <v>5</v>
      </c>
      <c r="AQ69" s="310" t="s">
        <v>649</v>
      </c>
      <c r="AR69" s="327">
        <v>0</v>
      </c>
      <c r="AS69" s="321">
        <v>2</v>
      </c>
      <c r="AU69" s="310" t="s">
        <v>649</v>
      </c>
      <c r="AV69" s="334">
        <v>0.13557748222572141</v>
      </c>
      <c r="AW69" s="321">
        <v>5</v>
      </c>
      <c r="AZ69" s="307">
        <f t="shared" si="7"/>
        <v>14</v>
      </c>
      <c r="BA69" s="307">
        <f t="shared" si="8"/>
        <v>14</v>
      </c>
      <c r="BB69" s="307">
        <f t="shared" si="9"/>
        <v>15</v>
      </c>
      <c r="BE69" t="s">
        <v>615</v>
      </c>
      <c r="BF69">
        <v>2018</v>
      </c>
      <c r="BG69">
        <f>BA24</f>
        <v>17</v>
      </c>
      <c r="BH69">
        <f t="shared" si="10"/>
        <v>1</v>
      </c>
    </row>
    <row r="70" spans="1:60" x14ac:dyDescent="0.2">
      <c r="A70" s="314" t="s">
        <v>557</v>
      </c>
      <c r="B70" s="315">
        <v>3.6244337207405856E-10</v>
      </c>
      <c r="C70" s="322">
        <v>3</v>
      </c>
      <c r="E70" s="314" t="s">
        <v>557</v>
      </c>
      <c r="F70" s="314">
        <v>0.95730337078651684</v>
      </c>
      <c r="G70" s="322">
        <v>3</v>
      </c>
      <c r="I70" s="314" t="s">
        <v>557</v>
      </c>
      <c r="J70" s="328">
        <v>7.3506176818577667E-4</v>
      </c>
      <c r="K70" s="322">
        <v>3</v>
      </c>
      <c r="M70" s="311" t="s">
        <v>557</v>
      </c>
      <c r="N70" s="335">
        <v>0.34634520767619253</v>
      </c>
      <c r="O70" s="313">
        <v>3</v>
      </c>
      <c r="R70" s="314" t="s">
        <v>557</v>
      </c>
      <c r="S70" s="315">
        <v>2.6957945244557736E-10</v>
      </c>
      <c r="T70" s="322">
        <v>3</v>
      </c>
      <c r="V70" s="310" t="s">
        <v>557</v>
      </c>
      <c r="W70" s="334">
        <v>0.59683794466403162</v>
      </c>
      <c r="X70" s="310">
        <v>2</v>
      </c>
      <c r="Z70" s="316" t="s">
        <v>557</v>
      </c>
      <c r="AA70" s="342">
        <v>2.7376820085537305E-4</v>
      </c>
      <c r="AB70" s="316">
        <v>3</v>
      </c>
      <c r="AD70" s="316" t="s">
        <v>557</v>
      </c>
      <c r="AE70" s="337">
        <v>0.29379722055449892</v>
      </c>
      <c r="AF70" s="322">
        <v>4</v>
      </c>
      <c r="AI70" s="316" t="s">
        <v>557</v>
      </c>
      <c r="AJ70" s="315">
        <v>2.7352180611595596E-10</v>
      </c>
      <c r="AK70" s="322">
        <v>3</v>
      </c>
      <c r="AM70" s="316" t="s">
        <v>557</v>
      </c>
      <c r="AN70" s="337">
        <v>0.88383838383838387</v>
      </c>
      <c r="AO70" s="322">
        <v>3</v>
      </c>
      <c r="AQ70" s="316" t="s">
        <v>557</v>
      </c>
      <c r="AR70" s="328">
        <v>3.7621412684448548E-4</v>
      </c>
      <c r="AS70" s="322">
        <v>3</v>
      </c>
      <c r="AU70" s="316" t="s">
        <v>557</v>
      </c>
      <c r="AV70" s="337">
        <v>0.24687118690041088</v>
      </c>
      <c r="AW70" s="322">
        <v>4</v>
      </c>
      <c r="AZ70" s="307">
        <f t="shared" si="7"/>
        <v>12</v>
      </c>
      <c r="BA70" s="307">
        <f t="shared" si="8"/>
        <v>12</v>
      </c>
      <c r="BB70" s="307">
        <f t="shared" si="9"/>
        <v>13</v>
      </c>
      <c r="BE70" t="s">
        <v>615</v>
      </c>
      <c r="BF70">
        <v>2019</v>
      </c>
      <c r="BG70">
        <f>BB24</f>
        <v>17</v>
      </c>
      <c r="BH70">
        <f t="shared" si="10"/>
        <v>1</v>
      </c>
    </row>
    <row r="71" spans="1:60" x14ac:dyDescent="0.2">
      <c r="A71" s="317" t="s">
        <v>181</v>
      </c>
      <c r="B71" s="318">
        <v>6.1103182219396699E-9</v>
      </c>
      <c r="C71" s="324">
        <v>5</v>
      </c>
      <c r="E71" s="308" t="s">
        <v>181</v>
      </c>
      <c r="F71" s="308">
        <v>0.5166163141993958</v>
      </c>
      <c r="G71" s="321">
        <v>2</v>
      </c>
      <c r="I71" s="308" t="s">
        <v>181</v>
      </c>
      <c r="J71" s="327">
        <v>0</v>
      </c>
      <c r="K71" s="321">
        <v>2</v>
      </c>
      <c r="M71" s="317" t="s">
        <v>181</v>
      </c>
      <c r="N71" s="336">
        <v>0.76346978650723218</v>
      </c>
      <c r="O71" s="319">
        <v>2</v>
      </c>
      <c r="R71" s="317" t="s">
        <v>181</v>
      </c>
      <c r="S71" s="318">
        <v>7.8466419774160841E-9</v>
      </c>
      <c r="T71" s="324">
        <v>5</v>
      </c>
      <c r="V71" s="316" t="s">
        <v>181</v>
      </c>
      <c r="W71" s="337">
        <v>0.83040935672514615</v>
      </c>
      <c r="X71" s="316">
        <v>3</v>
      </c>
      <c r="Z71" s="310" t="s">
        <v>181</v>
      </c>
      <c r="AA71" s="341">
        <v>0</v>
      </c>
      <c r="AB71" s="310">
        <v>2</v>
      </c>
      <c r="AD71" s="310" t="s">
        <v>181</v>
      </c>
      <c r="AE71" s="334">
        <v>2.7933130270048772E-2</v>
      </c>
      <c r="AF71" s="321">
        <v>5</v>
      </c>
      <c r="AI71" s="319" t="s">
        <v>181</v>
      </c>
      <c r="AJ71" s="318">
        <v>7.2039372907625037E-9</v>
      </c>
      <c r="AK71" s="324">
        <v>5</v>
      </c>
      <c r="AM71" s="316" t="s">
        <v>181</v>
      </c>
      <c r="AN71" s="337">
        <v>0.63924050632911389</v>
      </c>
      <c r="AO71" s="322">
        <v>3</v>
      </c>
      <c r="AQ71" s="310" t="s">
        <v>181</v>
      </c>
      <c r="AR71" s="327">
        <v>0</v>
      </c>
      <c r="AS71" s="321">
        <v>2</v>
      </c>
      <c r="AU71" s="316" t="s">
        <v>181</v>
      </c>
      <c r="AV71" s="337">
        <v>0.26333237098918905</v>
      </c>
      <c r="AW71" s="322">
        <v>4</v>
      </c>
      <c r="AZ71" s="307">
        <f t="shared" si="7"/>
        <v>11</v>
      </c>
      <c r="BA71" s="307">
        <f t="shared" si="8"/>
        <v>15</v>
      </c>
      <c r="BB71" s="307">
        <f t="shared" si="9"/>
        <v>14</v>
      </c>
      <c r="BE71" t="s">
        <v>247</v>
      </c>
      <c r="BF71">
        <v>2017</v>
      </c>
      <c r="BG71">
        <f>AZ25</f>
        <v>15</v>
      </c>
      <c r="BH71">
        <f t="shared" si="10"/>
        <v>1</v>
      </c>
    </row>
    <row r="72" spans="1:60" x14ac:dyDescent="0.2">
      <c r="A72" s="314" t="s">
        <v>657</v>
      </c>
      <c r="B72" s="315">
        <v>2.7447949517802596E-10</v>
      </c>
      <c r="C72" s="322">
        <v>3</v>
      </c>
      <c r="E72" s="314" t="s">
        <v>657</v>
      </c>
      <c r="F72" s="314">
        <v>1.010600706713781</v>
      </c>
      <c r="G72" s="322">
        <v>3</v>
      </c>
      <c r="I72" s="317" t="s">
        <v>657</v>
      </c>
      <c r="J72" s="330">
        <v>1.4332842779191552E-2</v>
      </c>
      <c r="K72" s="324">
        <v>5</v>
      </c>
      <c r="M72" s="314" t="s">
        <v>657</v>
      </c>
      <c r="N72" s="337">
        <v>0.21034544938516034</v>
      </c>
      <c r="O72" s="316">
        <v>4</v>
      </c>
      <c r="R72" s="314" t="s">
        <v>657</v>
      </c>
      <c r="S72" s="315">
        <v>3.0569306614007534E-10</v>
      </c>
      <c r="T72" s="322">
        <v>3</v>
      </c>
      <c r="V72" s="316" t="s">
        <v>657</v>
      </c>
      <c r="W72" s="337">
        <v>0.9517241379310345</v>
      </c>
      <c r="X72" s="316">
        <v>3</v>
      </c>
      <c r="Z72" s="319" t="s">
        <v>657</v>
      </c>
      <c r="AA72" s="343">
        <v>1.9307103101285725E-2</v>
      </c>
      <c r="AB72" s="319">
        <v>5</v>
      </c>
      <c r="AD72" s="316" t="s">
        <v>657</v>
      </c>
      <c r="AE72" s="337">
        <v>0.19071815396815392</v>
      </c>
      <c r="AF72" s="322">
        <v>4</v>
      </c>
      <c r="AI72" s="316" t="s">
        <v>657</v>
      </c>
      <c r="AJ72" s="315">
        <v>3.6425034562405291E-10</v>
      </c>
      <c r="AK72" s="322">
        <v>3</v>
      </c>
      <c r="AM72" s="316" t="s">
        <v>657</v>
      </c>
      <c r="AN72" s="337">
        <v>0.9668874172185431</v>
      </c>
      <c r="AO72" s="322">
        <v>3</v>
      </c>
      <c r="AQ72" s="319" t="s">
        <v>657</v>
      </c>
      <c r="AR72" s="330">
        <v>1.5695747852195206E-2</v>
      </c>
      <c r="AS72" s="324">
        <v>5</v>
      </c>
      <c r="AU72" s="310" t="s">
        <v>657</v>
      </c>
      <c r="AV72" s="334">
        <v>0.17570473834725922</v>
      </c>
      <c r="AW72" s="321">
        <v>5</v>
      </c>
      <c r="AZ72" s="307">
        <f t="shared" si="7"/>
        <v>15</v>
      </c>
      <c r="BA72" s="307">
        <f t="shared" si="8"/>
        <v>15</v>
      </c>
      <c r="BB72" s="307">
        <f t="shared" si="9"/>
        <v>16</v>
      </c>
      <c r="BE72" t="s">
        <v>247</v>
      </c>
      <c r="BF72">
        <v>2018</v>
      </c>
      <c r="BG72">
        <f>BA25</f>
        <v>13</v>
      </c>
      <c r="BH72">
        <f t="shared" si="10"/>
        <v>1</v>
      </c>
    </row>
    <row r="73" spans="1:60" x14ac:dyDescent="0.2">
      <c r="A73" s="317" t="s">
        <v>190</v>
      </c>
      <c r="B73" s="318">
        <v>1.920182381895147E-9</v>
      </c>
      <c r="C73" s="324">
        <v>5</v>
      </c>
      <c r="E73" s="311" t="s">
        <v>190</v>
      </c>
      <c r="F73" s="311">
        <v>1.4742698191933241</v>
      </c>
      <c r="G73" s="323">
        <v>4</v>
      </c>
      <c r="I73" s="317" t="s">
        <v>190</v>
      </c>
      <c r="J73" s="330">
        <v>0.19544762483581196</v>
      </c>
      <c r="K73" s="324">
        <v>5</v>
      </c>
      <c r="M73" s="311" t="s">
        <v>190</v>
      </c>
      <c r="N73" s="335">
        <v>0.38524990256029951</v>
      </c>
      <c r="O73" s="313">
        <v>3</v>
      </c>
      <c r="R73" s="317" t="s">
        <v>190</v>
      </c>
      <c r="S73" s="318">
        <v>1.7883574558744037E-9</v>
      </c>
      <c r="T73" s="324">
        <v>5</v>
      </c>
      <c r="V73" s="313" t="s">
        <v>190</v>
      </c>
      <c r="W73" s="335">
        <v>1.8300653594771241</v>
      </c>
      <c r="X73" s="313">
        <v>4</v>
      </c>
      <c r="Z73" s="319" t="s">
        <v>190</v>
      </c>
      <c r="AA73" s="343">
        <v>0.20796900367291871</v>
      </c>
      <c r="AB73" s="319">
        <v>5</v>
      </c>
      <c r="AD73" s="313" t="s">
        <v>190</v>
      </c>
      <c r="AE73" s="335">
        <v>0.39446940041569079</v>
      </c>
      <c r="AF73" s="323">
        <v>3</v>
      </c>
      <c r="AI73" s="319" t="s">
        <v>190</v>
      </c>
      <c r="AJ73" s="318">
        <v>1.654673511405209E-8</v>
      </c>
      <c r="AK73" s="324">
        <v>5</v>
      </c>
      <c r="AM73" s="313" t="s">
        <v>190</v>
      </c>
      <c r="AN73" s="335">
        <v>1.8128964059196617</v>
      </c>
      <c r="AO73" s="323">
        <v>4</v>
      </c>
      <c r="AQ73" s="319" t="s">
        <v>190</v>
      </c>
      <c r="AR73" s="330">
        <v>1.9298274713814569</v>
      </c>
      <c r="AS73" s="324">
        <v>5</v>
      </c>
      <c r="AU73" s="354" t="s">
        <v>190</v>
      </c>
      <c r="AV73" s="355">
        <v>0.45994041558071369</v>
      </c>
      <c r="AW73" s="356">
        <v>3</v>
      </c>
      <c r="AZ73" s="307">
        <f t="shared" si="7"/>
        <v>17</v>
      </c>
      <c r="BA73" s="307">
        <f t="shared" si="8"/>
        <v>17</v>
      </c>
      <c r="BB73" s="307">
        <f t="shared" si="9"/>
        <v>17</v>
      </c>
      <c r="BE73" t="s">
        <v>247</v>
      </c>
      <c r="BF73">
        <v>2019</v>
      </c>
      <c r="BG73">
        <f>BB25</f>
        <v>16</v>
      </c>
      <c r="BH73">
        <f t="shared" si="10"/>
        <v>1</v>
      </c>
    </row>
    <row r="74" spans="1:60" x14ac:dyDescent="0.2">
      <c r="A74" s="311" t="s">
        <v>184</v>
      </c>
      <c r="B74" s="312">
        <v>6.3090497405035436E-10</v>
      </c>
      <c r="C74" s="323">
        <v>4</v>
      </c>
      <c r="E74" s="317" t="s">
        <v>184</v>
      </c>
      <c r="F74" s="317">
        <v>5.7094594594594597</v>
      </c>
      <c r="G74" s="324">
        <v>5</v>
      </c>
      <c r="I74" s="317" t="s">
        <v>184</v>
      </c>
      <c r="J74" s="330">
        <v>8.7701464129067361E-2</v>
      </c>
      <c r="K74" s="324">
        <v>5</v>
      </c>
      <c r="M74" s="311" t="s">
        <v>184</v>
      </c>
      <c r="N74" s="335">
        <v>0.32153242254091308</v>
      </c>
      <c r="O74" s="313">
        <v>3</v>
      </c>
      <c r="R74" s="311" t="s">
        <v>184</v>
      </c>
      <c r="S74" s="312">
        <v>5.9669817307379089E-10</v>
      </c>
      <c r="T74" s="323">
        <v>4</v>
      </c>
      <c r="V74" s="319" t="s">
        <v>184</v>
      </c>
      <c r="W74" s="336">
        <v>4.6625766871165641</v>
      </c>
      <c r="X74" s="319">
        <v>5</v>
      </c>
      <c r="Z74" s="313" t="s">
        <v>184</v>
      </c>
      <c r="AA74" s="340">
        <v>1.3465160408846516E-3</v>
      </c>
      <c r="AB74" s="313">
        <v>4</v>
      </c>
      <c r="AD74" s="313" t="s">
        <v>184</v>
      </c>
      <c r="AE74" s="335">
        <v>0.34457897702604601</v>
      </c>
      <c r="AF74" s="323">
        <v>3</v>
      </c>
      <c r="AI74" s="313" t="s">
        <v>184</v>
      </c>
      <c r="AJ74" s="312">
        <v>5.4905396774983452E-10</v>
      </c>
      <c r="AK74" s="323">
        <v>4</v>
      </c>
      <c r="AM74" s="319" t="s">
        <v>184</v>
      </c>
      <c r="AN74" s="336">
        <v>4.5505617977528088</v>
      </c>
      <c r="AO74" s="324">
        <v>5</v>
      </c>
      <c r="AQ74" s="316" t="s">
        <v>184</v>
      </c>
      <c r="AR74" s="328">
        <v>4.84940817659556E-4</v>
      </c>
      <c r="AS74" s="322">
        <v>3</v>
      </c>
      <c r="AU74" s="354" t="s">
        <v>184</v>
      </c>
      <c r="AV74" s="355">
        <v>0.37830831596663578</v>
      </c>
      <c r="AW74" s="356">
        <v>3</v>
      </c>
      <c r="AZ74" s="307">
        <f t="shared" si="7"/>
        <v>17</v>
      </c>
      <c r="BA74" s="307">
        <f t="shared" si="8"/>
        <v>16</v>
      </c>
      <c r="BB74" s="307">
        <f t="shared" si="9"/>
        <v>15</v>
      </c>
      <c r="BE74" t="s">
        <v>136</v>
      </c>
      <c r="BF74">
        <v>2017</v>
      </c>
      <c r="BG74">
        <f>AZ26</f>
        <v>11</v>
      </c>
      <c r="BH74">
        <f t="shared" si="10"/>
        <v>0</v>
      </c>
    </row>
    <row r="75" spans="1:60" x14ac:dyDescent="0.2">
      <c r="A75" s="308" t="s">
        <v>786</v>
      </c>
      <c r="B75" s="309">
        <v>1.5162111762275854E-10</v>
      </c>
      <c r="C75" s="321">
        <v>2</v>
      </c>
      <c r="E75" s="317" t="s">
        <v>786</v>
      </c>
      <c r="F75" s="317">
        <v>7.2602739726027394</v>
      </c>
      <c r="G75" s="324">
        <v>5</v>
      </c>
      <c r="I75" s="311" t="s">
        <v>786</v>
      </c>
      <c r="J75" s="329">
        <v>3.3290756168229507E-3</v>
      </c>
      <c r="K75" s="323">
        <v>4</v>
      </c>
      <c r="M75" s="308" t="s">
        <v>786</v>
      </c>
      <c r="N75" s="334">
        <v>1.0224448303966197E-2</v>
      </c>
      <c r="O75" s="310">
        <v>5</v>
      </c>
      <c r="R75" s="308" t="s">
        <v>786</v>
      </c>
      <c r="S75" s="309">
        <v>4.27003411180693E-11</v>
      </c>
      <c r="T75" s="321">
        <v>2</v>
      </c>
      <c r="V75" s="319" t="s">
        <v>786</v>
      </c>
      <c r="W75" s="336">
        <v>4.5804195804195809</v>
      </c>
      <c r="X75" s="319">
        <v>5</v>
      </c>
      <c r="Z75" s="313" t="s">
        <v>786</v>
      </c>
      <c r="AA75" s="340">
        <v>1.9768020058538453E-3</v>
      </c>
      <c r="AB75" s="313">
        <v>4</v>
      </c>
      <c r="AD75" s="310" t="s">
        <v>786</v>
      </c>
      <c r="AE75" s="334">
        <v>3.6975879984856921E-2</v>
      </c>
      <c r="AF75" s="321">
        <v>5</v>
      </c>
      <c r="AI75" s="310" t="s">
        <v>786</v>
      </c>
      <c r="AJ75" s="309">
        <v>2.8322352018398228E-11</v>
      </c>
      <c r="AK75" s="321">
        <v>2</v>
      </c>
      <c r="AM75" s="319" t="s">
        <v>786</v>
      </c>
      <c r="AN75" s="336">
        <v>2.6455026455026456</v>
      </c>
      <c r="AO75" s="324">
        <v>5</v>
      </c>
      <c r="AQ75" s="313" t="s">
        <v>786</v>
      </c>
      <c r="AR75" s="329">
        <v>1.8746865963996261E-3</v>
      </c>
      <c r="AS75" s="323">
        <v>4</v>
      </c>
      <c r="AU75" s="310" t="s">
        <v>786</v>
      </c>
      <c r="AV75" s="334">
        <v>3.8421766522567728E-2</v>
      </c>
      <c r="AW75" s="321">
        <v>5</v>
      </c>
      <c r="AZ75" s="307">
        <f t="shared" si="7"/>
        <v>16</v>
      </c>
      <c r="BA75" s="307">
        <f t="shared" si="8"/>
        <v>16</v>
      </c>
      <c r="BB75" s="307">
        <f t="shared" si="9"/>
        <v>16</v>
      </c>
      <c r="BE75" t="s">
        <v>136</v>
      </c>
      <c r="BF75">
        <v>2018</v>
      </c>
      <c r="BG75">
        <f>BA26</f>
        <v>12</v>
      </c>
      <c r="BH75">
        <f t="shared" si="10"/>
        <v>0</v>
      </c>
    </row>
    <row r="76" spans="1:60" x14ac:dyDescent="0.2">
      <c r="A76" s="314" t="s">
        <v>789</v>
      </c>
      <c r="B76" s="315">
        <v>2.2829841191388206E-10</v>
      </c>
      <c r="C76" s="322">
        <v>3</v>
      </c>
      <c r="E76" s="317" t="s">
        <v>789</v>
      </c>
      <c r="F76" s="317">
        <v>3.481012658227848</v>
      </c>
      <c r="G76" s="324">
        <v>5</v>
      </c>
      <c r="I76" s="311" t="s">
        <v>789</v>
      </c>
      <c r="J76" s="329">
        <v>1.0027772384129731E-2</v>
      </c>
      <c r="K76" s="323">
        <v>4</v>
      </c>
      <c r="M76" s="317" t="s">
        <v>789</v>
      </c>
      <c r="N76" s="336">
        <v>0.71405976803545335</v>
      </c>
      <c r="O76" s="319">
        <v>2</v>
      </c>
      <c r="R76" s="308" t="s">
        <v>789</v>
      </c>
      <c r="S76" s="309">
        <v>2.046474003074807E-10</v>
      </c>
      <c r="T76" s="321">
        <v>2</v>
      </c>
      <c r="V76" s="319" t="s">
        <v>789</v>
      </c>
      <c r="W76" s="336">
        <v>2.9535864978902953</v>
      </c>
      <c r="X76" s="319">
        <v>5</v>
      </c>
      <c r="Z76" s="313" t="s">
        <v>789</v>
      </c>
      <c r="AA76" s="340">
        <v>7.7664090737921514E-3</v>
      </c>
      <c r="AB76" s="313">
        <v>4</v>
      </c>
      <c r="AD76" s="319" t="s">
        <v>789</v>
      </c>
      <c r="AE76" s="336">
        <v>0.7584226471463712</v>
      </c>
      <c r="AF76" s="324">
        <v>2</v>
      </c>
      <c r="AI76" s="316" t="s">
        <v>789</v>
      </c>
      <c r="AJ76" s="315">
        <v>2.154310404973075E-10</v>
      </c>
      <c r="AK76" s="322">
        <v>3</v>
      </c>
      <c r="AM76" s="319" t="s">
        <v>789</v>
      </c>
      <c r="AN76" s="336">
        <v>2.4354243542435423</v>
      </c>
      <c r="AO76" s="324">
        <v>5</v>
      </c>
      <c r="AQ76" s="313" t="s">
        <v>789</v>
      </c>
      <c r="AR76" s="329">
        <v>9.046772235865301E-3</v>
      </c>
      <c r="AS76" s="323">
        <v>4</v>
      </c>
      <c r="AU76" s="319" t="s">
        <v>789</v>
      </c>
      <c r="AV76" s="336">
        <v>0.7506286662175442</v>
      </c>
      <c r="AW76" s="357">
        <v>2</v>
      </c>
      <c r="AZ76" s="307">
        <f t="shared" si="7"/>
        <v>14</v>
      </c>
      <c r="BA76" s="307">
        <f t="shared" si="8"/>
        <v>13</v>
      </c>
      <c r="BB76" s="307">
        <f t="shared" si="9"/>
        <v>14</v>
      </c>
      <c r="BE76" t="s">
        <v>136</v>
      </c>
      <c r="BF76">
        <v>2019</v>
      </c>
      <c r="BG76">
        <f>BB26</f>
        <v>11</v>
      </c>
      <c r="BH76">
        <f t="shared" si="10"/>
        <v>0</v>
      </c>
    </row>
    <row r="77" spans="1:60" x14ac:dyDescent="0.2">
      <c r="A77" s="317" t="s">
        <v>471</v>
      </c>
      <c r="B77" s="318">
        <v>2.036084629139616E-9</v>
      </c>
      <c r="C77" s="324">
        <v>5</v>
      </c>
      <c r="E77" s="314" t="s">
        <v>471</v>
      </c>
      <c r="F77" s="314">
        <v>0.88032220943613348</v>
      </c>
      <c r="G77" s="322">
        <v>3</v>
      </c>
      <c r="I77" s="314" t="s">
        <v>471</v>
      </c>
      <c r="J77" s="328">
        <v>7.2952551371791258E-4</v>
      </c>
      <c r="K77" s="322">
        <v>3</v>
      </c>
      <c r="M77" s="308" t="s">
        <v>471</v>
      </c>
      <c r="N77" s="334">
        <v>0.14308925630983593</v>
      </c>
      <c r="O77" s="310">
        <v>5</v>
      </c>
      <c r="R77" s="317" t="s">
        <v>471</v>
      </c>
      <c r="S77" s="318">
        <v>1.9027255910290533E-9</v>
      </c>
      <c r="T77" s="324">
        <v>5</v>
      </c>
      <c r="V77" s="316" t="s">
        <v>471</v>
      </c>
      <c r="W77" s="337">
        <v>0.74479737130339541</v>
      </c>
      <c r="X77" s="316">
        <v>3</v>
      </c>
      <c r="Z77" s="316" t="s">
        <v>471</v>
      </c>
      <c r="AA77" s="342">
        <v>2.686998994423792E-4</v>
      </c>
      <c r="AB77" s="316">
        <v>3</v>
      </c>
      <c r="AD77" s="310" t="s">
        <v>471</v>
      </c>
      <c r="AE77" s="334">
        <v>0.12723108891229118</v>
      </c>
      <c r="AF77" s="321">
        <v>5</v>
      </c>
      <c r="AI77" s="319" t="s">
        <v>471</v>
      </c>
      <c r="AJ77" s="318">
        <v>3.0417003730577113E-9</v>
      </c>
      <c r="AK77" s="324">
        <v>5</v>
      </c>
      <c r="AM77" s="316" t="s">
        <v>471</v>
      </c>
      <c r="AN77" s="337">
        <v>0.51942286348501665</v>
      </c>
      <c r="AO77" s="322">
        <v>3</v>
      </c>
      <c r="AQ77" s="316" t="s">
        <v>471</v>
      </c>
      <c r="AR77" s="328">
        <v>2.8692213306016911E-4</v>
      </c>
      <c r="AS77" s="322">
        <v>3</v>
      </c>
      <c r="AU77" s="310" t="s">
        <v>471</v>
      </c>
      <c r="AV77" s="334">
        <v>0.11457869439135378</v>
      </c>
      <c r="AW77" s="321">
        <v>5</v>
      </c>
      <c r="AZ77" s="307">
        <f t="shared" si="7"/>
        <v>16</v>
      </c>
      <c r="BA77" s="307">
        <f t="shared" si="8"/>
        <v>16</v>
      </c>
      <c r="BB77" s="307">
        <f t="shared" si="9"/>
        <v>16</v>
      </c>
      <c r="BE77" t="s">
        <v>250</v>
      </c>
      <c r="BF77">
        <v>2017</v>
      </c>
      <c r="BG77">
        <f>AZ27</f>
        <v>9</v>
      </c>
      <c r="BH77">
        <f t="shared" si="10"/>
        <v>0</v>
      </c>
    </row>
    <row r="78" spans="1:60" x14ac:dyDescent="0.2">
      <c r="A78" s="314" t="s">
        <v>662</v>
      </c>
      <c r="B78" s="315">
        <v>3.7460789667957441E-10</v>
      </c>
      <c r="C78" s="322">
        <v>3</v>
      </c>
      <c r="E78" s="314" t="s">
        <v>662</v>
      </c>
      <c r="F78" s="314">
        <v>1.0465116279069768</v>
      </c>
      <c r="G78" s="322">
        <v>3</v>
      </c>
      <c r="I78" s="317" t="s">
        <v>662</v>
      </c>
      <c r="J78" s="330">
        <v>8.6756032833764665E-2</v>
      </c>
      <c r="K78" s="324">
        <v>5</v>
      </c>
      <c r="M78" s="308" t="s">
        <v>662</v>
      </c>
      <c r="N78" s="334">
        <v>8.0563234136843669E-3</v>
      </c>
      <c r="O78" s="310">
        <v>5</v>
      </c>
      <c r="R78" s="314" t="s">
        <v>662</v>
      </c>
      <c r="S78" s="315">
        <v>2.5701471291550712E-10</v>
      </c>
      <c r="T78" s="322">
        <v>3</v>
      </c>
      <c r="V78" s="310" t="s">
        <v>662</v>
      </c>
      <c r="W78" s="334">
        <v>0.55054432348367033</v>
      </c>
      <c r="X78" s="310">
        <v>2</v>
      </c>
      <c r="Z78" s="319" t="s">
        <v>662</v>
      </c>
      <c r="AA78" s="343">
        <v>8.80906160444965E-2</v>
      </c>
      <c r="AB78" s="319">
        <v>5</v>
      </c>
      <c r="AD78" s="310" t="s">
        <v>662</v>
      </c>
      <c r="AE78" s="334">
        <v>1.0201588575816352E-2</v>
      </c>
      <c r="AF78" s="321">
        <v>5</v>
      </c>
      <c r="AI78" s="316" t="s">
        <v>662</v>
      </c>
      <c r="AJ78" s="315">
        <v>2.5747180774152002E-10</v>
      </c>
      <c r="AK78" s="322">
        <v>3</v>
      </c>
      <c r="AM78" s="310" t="s">
        <v>662</v>
      </c>
      <c r="AN78" s="334">
        <v>0.24993843880817532</v>
      </c>
      <c r="AO78" s="321">
        <v>2</v>
      </c>
      <c r="AQ78" s="319" t="s">
        <v>662</v>
      </c>
      <c r="AR78" s="330">
        <v>2.2346382189463072E-2</v>
      </c>
      <c r="AS78" s="324">
        <v>5</v>
      </c>
      <c r="AU78" s="319" t="s">
        <v>662</v>
      </c>
      <c r="AV78" s="336">
        <v>1.0036231884057971</v>
      </c>
      <c r="AW78" s="357">
        <v>2</v>
      </c>
      <c r="AZ78" s="307">
        <f t="shared" si="7"/>
        <v>16</v>
      </c>
      <c r="BA78" s="307">
        <f t="shared" si="8"/>
        <v>15</v>
      </c>
      <c r="BB78" s="307">
        <f t="shared" si="9"/>
        <v>12</v>
      </c>
      <c r="BE78" t="s">
        <v>250</v>
      </c>
      <c r="BF78">
        <v>2018</v>
      </c>
      <c r="BG78">
        <f>BA27</f>
        <v>8</v>
      </c>
      <c r="BH78">
        <f t="shared" si="10"/>
        <v>0</v>
      </c>
    </row>
    <row r="79" spans="1:60" x14ac:dyDescent="0.2">
      <c r="A79" s="311" t="s">
        <v>665</v>
      </c>
      <c r="B79" s="312">
        <v>8.9177879556757598E-10</v>
      </c>
      <c r="C79" s="323">
        <v>4</v>
      </c>
      <c r="E79" s="314" t="s">
        <v>665</v>
      </c>
      <c r="F79" s="314">
        <v>0.91923990498812347</v>
      </c>
      <c r="G79" s="322">
        <v>3</v>
      </c>
      <c r="I79" s="317" t="s">
        <v>665</v>
      </c>
      <c r="J79" s="330">
        <v>2.2917513533979129E-2</v>
      </c>
      <c r="K79" s="324">
        <v>5</v>
      </c>
      <c r="M79" s="308" t="s">
        <v>665</v>
      </c>
      <c r="N79" s="334">
        <v>6.7893506030319531E-2</v>
      </c>
      <c r="O79" s="310">
        <v>5</v>
      </c>
      <c r="R79" s="311" t="s">
        <v>665</v>
      </c>
      <c r="S79" s="312">
        <v>8.9906722108406207E-10</v>
      </c>
      <c r="T79" s="323">
        <v>4</v>
      </c>
      <c r="V79" s="310" t="s">
        <v>665</v>
      </c>
      <c r="W79" s="334">
        <v>0.56267409470752094</v>
      </c>
      <c r="X79" s="310">
        <v>2</v>
      </c>
      <c r="Z79" s="319" t="s">
        <v>665</v>
      </c>
      <c r="AA79" s="343">
        <v>2.0132382925474448E-2</v>
      </c>
      <c r="AB79" s="319">
        <v>5</v>
      </c>
      <c r="AD79" s="310" t="s">
        <v>665</v>
      </c>
      <c r="AE79" s="334">
        <v>0.10997413385282945</v>
      </c>
      <c r="AF79" s="321">
        <v>5</v>
      </c>
      <c r="AI79" s="319" t="s">
        <v>665</v>
      </c>
      <c r="AJ79" s="318">
        <v>9.0061954445420129E-10</v>
      </c>
      <c r="AK79" s="324">
        <v>5</v>
      </c>
      <c r="AM79" s="310" t="s">
        <v>665</v>
      </c>
      <c r="AN79" s="334">
        <v>0.5</v>
      </c>
      <c r="AO79" s="321">
        <v>2</v>
      </c>
      <c r="AQ79" s="319" t="s">
        <v>665</v>
      </c>
      <c r="AR79" s="330">
        <v>1.286300194634666E-2</v>
      </c>
      <c r="AS79" s="324">
        <v>5</v>
      </c>
      <c r="AU79" s="310" t="s">
        <v>665</v>
      </c>
      <c r="AV79" s="334">
        <v>9.7477677074001193E-2</v>
      </c>
      <c r="AW79" s="321">
        <v>5</v>
      </c>
      <c r="AZ79" s="307">
        <f t="shared" si="7"/>
        <v>17</v>
      </c>
      <c r="BA79" s="307">
        <f t="shared" si="8"/>
        <v>16</v>
      </c>
      <c r="BB79" s="307">
        <f t="shared" si="9"/>
        <v>17</v>
      </c>
      <c r="BE79" t="s">
        <v>250</v>
      </c>
      <c r="BF79">
        <v>2019</v>
      </c>
      <c r="BG79">
        <f>BB27</f>
        <v>9</v>
      </c>
      <c r="BH79">
        <f t="shared" si="10"/>
        <v>0</v>
      </c>
    </row>
    <row r="80" spans="1:60" x14ac:dyDescent="0.2">
      <c r="A80" s="317" t="s">
        <v>106</v>
      </c>
      <c r="B80" s="318">
        <v>3.1589131498334116E-9</v>
      </c>
      <c r="C80" s="324">
        <v>5</v>
      </c>
      <c r="E80" s="314" t="s">
        <v>106</v>
      </c>
      <c r="F80" s="314">
        <v>1.1932773109243697</v>
      </c>
      <c r="G80" s="322">
        <v>3</v>
      </c>
      <c r="I80" s="308" t="s">
        <v>106</v>
      </c>
      <c r="J80" s="327">
        <v>0</v>
      </c>
      <c r="K80" s="321">
        <v>2</v>
      </c>
      <c r="M80" s="311" t="s">
        <v>106</v>
      </c>
      <c r="N80" s="335">
        <v>0.33188162490772888</v>
      </c>
      <c r="O80" s="313">
        <v>3</v>
      </c>
      <c r="R80" s="317" t="s">
        <v>106</v>
      </c>
      <c r="S80" s="318">
        <v>3.8068622529320779E-9</v>
      </c>
      <c r="T80" s="324">
        <v>5</v>
      </c>
      <c r="V80" s="316" t="s">
        <v>106</v>
      </c>
      <c r="W80" s="337">
        <v>1.0237510237510237</v>
      </c>
      <c r="X80" s="316">
        <v>3</v>
      </c>
      <c r="Z80" s="310" t="s">
        <v>106</v>
      </c>
      <c r="AA80" s="341">
        <v>0</v>
      </c>
      <c r="AB80" s="310">
        <v>2</v>
      </c>
      <c r="AD80" s="319" t="s">
        <v>106</v>
      </c>
      <c r="AE80" s="336">
        <v>0.62113752969674896</v>
      </c>
      <c r="AF80" s="324">
        <v>2</v>
      </c>
      <c r="AI80" s="319" t="s">
        <v>106</v>
      </c>
      <c r="AJ80" s="318">
        <v>4.1298153584908414E-9</v>
      </c>
      <c r="AK80" s="324">
        <v>5</v>
      </c>
      <c r="AM80" s="313" t="s">
        <v>106</v>
      </c>
      <c r="AN80" s="335">
        <v>1.1927710843373494</v>
      </c>
      <c r="AO80" s="323">
        <v>4</v>
      </c>
      <c r="AQ80" s="310" t="s">
        <v>106</v>
      </c>
      <c r="AR80" s="327">
        <v>0</v>
      </c>
      <c r="AS80" s="321">
        <v>2</v>
      </c>
      <c r="AU80" s="319" t="s">
        <v>106</v>
      </c>
      <c r="AV80" s="336">
        <v>0.61720325286577771</v>
      </c>
      <c r="AW80" s="357">
        <v>2</v>
      </c>
      <c r="AZ80" s="307">
        <f t="shared" si="7"/>
        <v>13</v>
      </c>
      <c r="BA80" s="307">
        <f t="shared" si="8"/>
        <v>12</v>
      </c>
      <c r="BB80" s="307">
        <f t="shared" si="9"/>
        <v>13</v>
      </c>
      <c r="BE80" t="s">
        <v>57</v>
      </c>
      <c r="BF80">
        <v>2017</v>
      </c>
      <c r="BG80">
        <f>AZ28</f>
        <v>10</v>
      </c>
      <c r="BH80">
        <f t="shared" si="10"/>
        <v>0</v>
      </c>
    </row>
    <row r="81" spans="1:60" x14ac:dyDescent="0.2">
      <c r="A81" s="311" t="s">
        <v>794</v>
      </c>
      <c r="B81" s="312">
        <v>5.3918930001041396E-10</v>
      </c>
      <c r="C81" s="323">
        <v>4</v>
      </c>
      <c r="E81" s="308" t="s">
        <v>794</v>
      </c>
      <c r="F81" s="308">
        <v>0.4170141784820684</v>
      </c>
      <c r="G81" s="321">
        <v>2</v>
      </c>
      <c r="I81" s="311" t="s">
        <v>794</v>
      </c>
      <c r="J81" s="329">
        <v>2.1728252534015387E-3</v>
      </c>
      <c r="K81" s="323">
        <v>4</v>
      </c>
      <c r="M81" s="311" t="s">
        <v>794</v>
      </c>
      <c r="N81" s="335">
        <v>0.33848078079056637</v>
      </c>
      <c r="O81" s="313">
        <v>3</v>
      </c>
      <c r="R81" s="311" t="s">
        <v>794</v>
      </c>
      <c r="S81" s="312">
        <v>5.1522696341252647E-10</v>
      </c>
      <c r="T81" s="323">
        <v>4</v>
      </c>
      <c r="V81" s="310" t="s">
        <v>794</v>
      </c>
      <c r="W81" s="334">
        <v>0.45154185022026433</v>
      </c>
      <c r="X81" s="310">
        <v>2</v>
      </c>
      <c r="Z81" s="313" t="s">
        <v>794</v>
      </c>
      <c r="AA81" s="340">
        <v>3.1292336472317573E-3</v>
      </c>
      <c r="AB81" s="313">
        <v>4</v>
      </c>
      <c r="AD81" s="313" t="s">
        <v>794</v>
      </c>
      <c r="AE81" s="335">
        <v>0.30101618421379578</v>
      </c>
      <c r="AF81" s="323">
        <v>3</v>
      </c>
      <c r="AI81" s="313" t="s">
        <v>794</v>
      </c>
      <c r="AJ81" s="312">
        <v>5.3636460183383131E-10</v>
      </c>
      <c r="AK81" s="323">
        <v>4</v>
      </c>
      <c r="AM81" s="310" t="s">
        <v>794</v>
      </c>
      <c r="AN81" s="334">
        <v>0.44075144508670522</v>
      </c>
      <c r="AO81" s="321">
        <v>2</v>
      </c>
      <c r="AQ81" s="313" t="s">
        <v>794</v>
      </c>
      <c r="AR81" s="329">
        <v>5.4707659102880089E-3</v>
      </c>
      <c r="AS81" s="323">
        <v>4</v>
      </c>
      <c r="AU81" s="354" t="s">
        <v>794</v>
      </c>
      <c r="AV81" s="355">
        <v>0.32079064620640863</v>
      </c>
      <c r="AW81" s="356">
        <v>3</v>
      </c>
      <c r="AZ81" s="307">
        <f t="shared" si="7"/>
        <v>13</v>
      </c>
      <c r="BA81" s="307">
        <f t="shared" si="8"/>
        <v>13</v>
      </c>
      <c r="BB81" s="307">
        <f t="shared" si="9"/>
        <v>13</v>
      </c>
      <c r="BE81" t="s">
        <v>57</v>
      </c>
      <c r="BF81">
        <v>2018</v>
      </c>
      <c r="BG81">
        <f>BA28</f>
        <v>10</v>
      </c>
      <c r="BH81">
        <f t="shared" si="10"/>
        <v>0</v>
      </c>
    </row>
    <row r="82" spans="1:60" x14ac:dyDescent="0.2">
      <c r="A82" s="311" t="s">
        <v>475</v>
      </c>
      <c r="B82" s="312">
        <v>6.5755186876604063E-10</v>
      </c>
      <c r="C82" s="323">
        <v>4</v>
      </c>
      <c r="E82" s="314" t="s">
        <v>475</v>
      </c>
      <c r="F82" s="314">
        <v>0.97496706192358362</v>
      </c>
      <c r="G82" s="322">
        <v>3</v>
      </c>
      <c r="I82" s="311" t="s">
        <v>475</v>
      </c>
      <c r="J82" s="329">
        <v>4.342990055602158E-3</v>
      </c>
      <c r="K82" s="323">
        <v>4</v>
      </c>
      <c r="M82" s="311" t="s">
        <v>475</v>
      </c>
      <c r="N82" s="335">
        <v>0.50070419686538947</v>
      </c>
      <c r="O82" s="313">
        <v>3</v>
      </c>
      <c r="R82" s="311" t="s">
        <v>475</v>
      </c>
      <c r="S82" s="312">
        <v>5.2177989393383882E-10</v>
      </c>
      <c r="T82" s="323">
        <v>4</v>
      </c>
      <c r="V82" s="313" t="s">
        <v>475</v>
      </c>
      <c r="W82" s="335">
        <v>1.6469893742621016</v>
      </c>
      <c r="X82" s="313">
        <v>4</v>
      </c>
      <c r="Z82" s="313" t="s">
        <v>475</v>
      </c>
      <c r="AA82" s="340">
        <v>2.8764179151457899E-3</v>
      </c>
      <c r="AB82" s="313">
        <v>4</v>
      </c>
      <c r="AD82" s="313" t="s">
        <v>475</v>
      </c>
      <c r="AE82" s="335">
        <v>0.4826223596621157</v>
      </c>
      <c r="AF82" s="323">
        <v>3</v>
      </c>
      <c r="AI82" s="313" t="s">
        <v>475</v>
      </c>
      <c r="AJ82" s="312">
        <v>4.7968321057587381E-10</v>
      </c>
      <c r="AK82" s="323">
        <v>4</v>
      </c>
      <c r="AM82" s="316" t="s">
        <v>475</v>
      </c>
      <c r="AN82" s="337">
        <v>1.1092715231788079</v>
      </c>
      <c r="AO82" s="322">
        <v>3</v>
      </c>
      <c r="AQ82" s="313" t="s">
        <v>475</v>
      </c>
      <c r="AR82" s="329">
        <v>2.2799442261975484E-3</v>
      </c>
      <c r="AS82" s="323">
        <v>4</v>
      </c>
      <c r="AU82" s="354" t="s">
        <v>475</v>
      </c>
      <c r="AV82" s="355">
        <v>0.49137883310386554</v>
      </c>
      <c r="AW82" s="356">
        <v>3</v>
      </c>
      <c r="AZ82" s="307">
        <f t="shared" si="7"/>
        <v>14</v>
      </c>
      <c r="BA82" s="307">
        <f t="shared" si="8"/>
        <v>15</v>
      </c>
      <c r="BB82" s="307">
        <f t="shared" si="9"/>
        <v>14</v>
      </c>
      <c r="BE82" t="s">
        <v>57</v>
      </c>
      <c r="BF82">
        <v>2019</v>
      </c>
      <c r="BG82">
        <f>BB28</f>
        <v>10</v>
      </c>
      <c r="BH82">
        <f t="shared" si="10"/>
        <v>0</v>
      </c>
    </row>
    <row r="83" spans="1:60" x14ac:dyDescent="0.2">
      <c r="A83" s="317" t="s">
        <v>800</v>
      </c>
      <c r="B83" s="318">
        <v>1.3971773283330214E-9</v>
      </c>
      <c r="C83" s="324">
        <v>5</v>
      </c>
      <c r="E83" s="311" t="s">
        <v>800</v>
      </c>
      <c r="F83" s="311">
        <v>2.4313725490196076</v>
      </c>
      <c r="G83" s="323">
        <v>4</v>
      </c>
      <c r="I83" s="311" t="s">
        <v>800</v>
      </c>
      <c r="J83" s="329">
        <v>9.746871194011868E-3</v>
      </c>
      <c r="K83" s="323">
        <v>4</v>
      </c>
      <c r="M83" s="314" t="s">
        <v>800</v>
      </c>
      <c r="N83" s="337">
        <v>0.27161483015960708</v>
      </c>
      <c r="O83" s="316">
        <v>4</v>
      </c>
      <c r="R83" s="317" t="s">
        <v>800</v>
      </c>
      <c r="S83" s="318">
        <v>1.2799980212590975E-9</v>
      </c>
      <c r="T83" s="324">
        <v>5</v>
      </c>
      <c r="V83" s="313" t="s">
        <v>800</v>
      </c>
      <c r="W83" s="335">
        <v>2.2054794520547945</v>
      </c>
      <c r="X83" s="313">
        <v>4</v>
      </c>
      <c r="Z83" s="319" t="s">
        <v>800</v>
      </c>
      <c r="AA83" s="343">
        <v>1.292798529981545E-2</v>
      </c>
      <c r="AB83" s="319">
        <v>5</v>
      </c>
      <c r="AD83" s="316" t="s">
        <v>800</v>
      </c>
      <c r="AE83" s="337">
        <v>0.27478424792349931</v>
      </c>
      <c r="AF83" s="322">
        <v>4</v>
      </c>
      <c r="AI83" s="319" t="s">
        <v>800</v>
      </c>
      <c r="AJ83" s="318">
        <v>1.1223544279335986E-9</v>
      </c>
      <c r="AK83" s="324">
        <v>5</v>
      </c>
      <c r="AM83" s="319" t="s">
        <v>800</v>
      </c>
      <c r="AN83" s="336">
        <v>2.3761261261261262</v>
      </c>
      <c r="AO83" s="324">
        <v>5</v>
      </c>
      <c r="AQ83" s="319" t="s">
        <v>800</v>
      </c>
      <c r="AR83" s="330">
        <v>1.3827171135300038E-2</v>
      </c>
      <c r="AS83" s="324">
        <v>5</v>
      </c>
      <c r="AU83" s="316" t="s">
        <v>800</v>
      </c>
      <c r="AV83" s="337">
        <v>0.27156301716675224</v>
      </c>
      <c r="AW83" s="322">
        <v>4</v>
      </c>
      <c r="AZ83" s="307">
        <f t="shared" si="7"/>
        <v>17</v>
      </c>
      <c r="BA83" s="307">
        <f t="shared" si="8"/>
        <v>18</v>
      </c>
      <c r="BB83" s="307">
        <f t="shared" si="9"/>
        <v>19</v>
      </c>
      <c r="BE83" t="s">
        <v>349</v>
      </c>
      <c r="BF83">
        <v>2017</v>
      </c>
      <c r="BG83">
        <f>AZ29</f>
        <v>13</v>
      </c>
      <c r="BH83">
        <f t="shared" si="10"/>
        <v>1</v>
      </c>
    </row>
    <row r="84" spans="1:60" x14ac:dyDescent="0.2">
      <c r="A84" s="317" t="s">
        <v>479</v>
      </c>
      <c r="B84" s="318">
        <v>3.9993941659498916E-9</v>
      </c>
      <c r="C84" s="324">
        <v>5</v>
      </c>
      <c r="E84" s="317" t="s">
        <v>479</v>
      </c>
      <c r="F84" s="317">
        <v>7.441860465116279</v>
      </c>
      <c r="G84" s="324">
        <v>5</v>
      </c>
      <c r="I84" s="308" t="s">
        <v>479</v>
      </c>
      <c r="J84" s="327">
        <v>0</v>
      </c>
      <c r="K84" s="321">
        <v>2</v>
      </c>
      <c r="M84" s="311" t="s">
        <v>479</v>
      </c>
      <c r="N84" s="335">
        <v>0.39192237743754493</v>
      </c>
      <c r="O84" s="313">
        <v>3</v>
      </c>
      <c r="R84" s="317" t="s">
        <v>479</v>
      </c>
      <c r="S84" s="318">
        <v>2.4610366384658094E-9</v>
      </c>
      <c r="T84" s="324">
        <v>5</v>
      </c>
      <c r="V84" s="319" t="s">
        <v>479</v>
      </c>
      <c r="W84" s="336">
        <v>6.403225806451613</v>
      </c>
      <c r="X84" s="319">
        <v>5</v>
      </c>
      <c r="Z84" s="310" t="s">
        <v>479</v>
      </c>
      <c r="AA84" s="341">
        <v>0</v>
      </c>
      <c r="AB84" s="310">
        <v>2</v>
      </c>
      <c r="AD84" s="313" t="s">
        <v>479</v>
      </c>
      <c r="AE84" s="335">
        <v>0.47393732391238541</v>
      </c>
      <c r="AF84" s="323">
        <v>3</v>
      </c>
      <c r="AI84" s="319" t="s">
        <v>479</v>
      </c>
      <c r="AJ84" s="318">
        <v>1.6733739994344378E-9</v>
      </c>
      <c r="AK84" s="324">
        <v>5</v>
      </c>
      <c r="AM84" s="319" t="s">
        <v>479</v>
      </c>
      <c r="AN84" s="336">
        <v>5.7948717948717947</v>
      </c>
      <c r="AO84" s="324">
        <v>5</v>
      </c>
      <c r="AQ84" s="310" t="s">
        <v>479</v>
      </c>
      <c r="AR84" s="327">
        <v>0</v>
      </c>
      <c r="AS84" s="321">
        <v>2</v>
      </c>
      <c r="AU84" s="354" t="s">
        <v>479</v>
      </c>
      <c r="AV84" s="355">
        <v>0.46654397516814483</v>
      </c>
      <c r="AW84" s="356">
        <v>3</v>
      </c>
      <c r="AZ84" s="307">
        <f t="shared" si="7"/>
        <v>15</v>
      </c>
      <c r="BA84" s="307">
        <f t="shared" si="8"/>
        <v>15</v>
      </c>
      <c r="BB84" s="307">
        <f t="shared" si="9"/>
        <v>15</v>
      </c>
      <c r="BE84" t="s">
        <v>349</v>
      </c>
      <c r="BF84">
        <v>2018</v>
      </c>
      <c r="BG84">
        <f>BA29</f>
        <v>13</v>
      </c>
      <c r="BH84">
        <f t="shared" si="10"/>
        <v>1</v>
      </c>
    </row>
    <row r="85" spans="1:60" x14ac:dyDescent="0.2">
      <c r="A85" s="311" t="s">
        <v>562</v>
      </c>
      <c r="B85" s="312">
        <v>7.6667901437729062E-10</v>
      </c>
      <c r="C85" s="323">
        <v>4</v>
      </c>
      <c r="E85" s="308" t="s">
        <v>562</v>
      </c>
      <c r="F85" s="308">
        <v>0.56795131845841784</v>
      </c>
      <c r="G85" s="321">
        <v>2</v>
      </c>
      <c r="I85" s="317" t="s">
        <v>562</v>
      </c>
      <c r="J85" s="330">
        <v>1.6226162361020417E-2</v>
      </c>
      <c r="K85" s="324">
        <v>5</v>
      </c>
      <c r="M85" s="317" t="s">
        <v>562</v>
      </c>
      <c r="N85" s="336">
        <v>0.66877242101294943</v>
      </c>
      <c r="O85" s="319">
        <v>2</v>
      </c>
      <c r="R85" s="311" t="s">
        <v>562</v>
      </c>
      <c r="S85" s="312">
        <v>6.7085555735339072E-10</v>
      </c>
      <c r="T85" s="323">
        <v>4</v>
      </c>
      <c r="V85" s="313" t="s">
        <v>562</v>
      </c>
      <c r="W85" s="335">
        <v>1.4314115308151094</v>
      </c>
      <c r="X85" s="313">
        <v>4</v>
      </c>
      <c r="Z85" s="319" t="s">
        <v>562</v>
      </c>
      <c r="AA85" s="343">
        <v>1.7193840649646575E-2</v>
      </c>
      <c r="AB85" s="319">
        <v>5</v>
      </c>
      <c r="AD85" s="319" t="s">
        <v>562</v>
      </c>
      <c r="AE85" s="336">
        <v>0.60133892409405554</v>
      </c>
      <c r="AF85" s="324">
        <v>2</v>
      </c>
      <c r="AI85" s="313" t="s">
        <v>562</v>
      </c>
      <c r="AJ85" s="312">
        <v>7.5269225137432833E-10</v>
      </c>
      <c r="AK85" s="323">
        <v>4</v>
      </c>
      <c r="AM85" s="313" t="s">
        <v>562</v>
      </c>
      <c r="AN85" s="335">
        <v>1.5540540540540539</v>
      </c>
      <c r="AO85" s="323">
        <v>4</v>
      </c>
      <c r="AQ85" s="319" t="s">
        <v>562</v>
      </c>
      <c r="AR85" s="330">
        <v>1.1375697525058945E-2</v>
      </c>
      <c r="AS85" s="324">
        <v>5</v>
      </c>
      <c r="AU85" s="319" t="s">
        <v>562</v>
      </c>
      <c r="AV85" s="336">
        <v>0.68558011748366754</v>
      </c>
      <c r="AW85" s="357">
        <v>2</v>
      </c>
      <c r="AZ85" s="307">
        <f t="shared" si="7"/>
        <v>13</v>
      </c>
      <c r="BA85" s="307">
        <f t="shared" si="8"/>
        <v>15</v>
      </c>
      <c r="BB85" s="307">
        <f t="shared" si="9"/>
        <v>15</v>
      </c>
      <c r="BE85" t="s">
        <v>349</v>
      </c>
      <c r="BF85">
        <v>2019</v>
      </c>
      <c r="BG85">
        <f>BB29</f>
        <v>13</v>
      </c>
      <c r="BH85">
        <f t="shared" si="10"/>
        <v>1</v>
      </c>
    </row>
    <row r="86" spans="1:60" x14ac:dyDescent="0.2">
      <c r="A86" s="314" t="s">
        <v>292</v>
      </c>
      <c r="B86" s="315">
        <v>2.9177265178802398E-10</v>
      </c>
      <c r="C86" s="322">
        <v>3</v>
      </c>
      <c r="E86" s="308" t="s">
        <v>292</v>
      </c>
      <c r="F86" s="308">
        <v>0.40858725761772852</v>
      </c>
      <c r="G86" s="321">
        <v>2</v>
      </c>
      <c r="I86" s="308" t="s">
        <v>292</v>
      </c>
      <c r="J86" s="327">
        <v>0</v>
      </c>
      <c r="K86" s="321">
        <v>2</v>
      </c>
      <c r="M86" s="317" t="s">
        <v>292</v>
      </c>
      <c r="N86" s="336">
        <v>0.77814600657116784</v>
      </c>
      <c r="O86" s="319">
        <v>2</v>
      </c>
      <c r="R86" s="314" t="s">
        <v>292</v>
      </c>
      <c r="S86" s="315">
        <v>2.1972330357786017E-10</v>
      </c>
      <c r="T86" s="322">
        <v>3</v>
      </c>
      <c r="V86" s="310" t="s">
        <v>292</v>
      </c>
      <c r="W86" s="334">
        <v>0.34269662921348315</v>
      </c>
      <c r="X86" s="310">
        <v>2</v>
      </c>
      <c r="Z86" s="310" t="s">
        <v>292</v>
      </c>
      <c r="AA86" s="341">
        <v>0</v>
      </c>
      <c r="AB86" s="310">
        <v>2</v>
      </c>
      <c r="AD86" s="319" t="s">
        <v>292</v>
      </c>
      <c r="AE86" s="336">
        <v>0.74110081425544416</v>
      </c>
      <c r="AF86" s="324">
        <v>2</v>
      </c>
      <c r="AI86" s="316" t="s">
        <v>292</v>
      </c>
      <c r="AJ86" s="315">
        <v>1.9911002172302697E-10</v>
      </c>
      <c r="AK86" s="322">
        <v>3</v>
      </c>
      <c r="AM86" s="310" t="s">
        <v>292</v>
      </c>
      <c r="AN86" s="334">
        <v>0.35208181154127099</v>
      </c>
      <c r="AO86" s="321">
        <v>2</v>
      </c>
      <c r="AQ86" s="310" t="s">
        <v>292</v>
      </c>
      <c r="AR86" s="327">
        <v>0</v>
      </c>
      <c r="AS86" s="321">
        <v>2</v>
      </c>
      <c r="AU86" s="319" t="s">
        <v>292</v>
      </c>
      <c r="AV86" s="336">
        <v>0.72911312939855755</v>
      </c>
      <c r="AW86" s="357">
        <v>2</v>
      </c>
      <c r="AZ86" s="307">
        <f t="shared" si="7"/>
        <v>9</v>
      </c>
      <c r="BA86" s="307">
        <f t="shared" si="8"/>
        <v>9</v>
      </c>
      <c r="BB86" s="307">
        <f t="shared" si="9"/>
        <v>9</v>
      </c>
      <c r="BE86" t="s">
        <v>142</v>
      </c>
      <c r="BF86">
        <v>2017</v>
      </c>
      <c r="BG86">
        <f>AZ30</f>
        <v>12</v>
      </c>
      <c r="BH86">
        <f t="shared" si="10"/>
        <v>0</v>
      </c>
    </row>
    <row r="87" spans="1:60" x14ac:dyDescent="0.2">
      <c r="A87" s="311" t="s">
        <v>188</v>
      </c>
      <c r="B87" s="312">
        <v>1.0579879307929627E-9</v>
      </c>
      <c r="C87" s="323">
        <v>4</v>
      </c>
      <c r="E87" s="308" t="s">
        <v>188</v>
      </c>
      <c r="F87" s="308">
        <v>0.35064935064935066</v>
      </c>
      <c r="G87" s="321">
        <v>2</v>
      </c>
      <c r="I87" s="317" t="s">
        <v>188</v>
      </c>
      <c r="J87" s="330">
        <v>0.18407299222278151</v>
      </c>
      <c r="K87" s="324">
        <v>5</v>
      </c>
      <c r="M87" s="314" t="s">
        <v>188</v>
      </c>
      <c r="N87" s="337">
        <v>0.19354674752245041</v>
      </c>
      <c r="O87" s="316">
        <v>4</v>
      </c>
      <c r="R87" s="317" t="s">
        <v>188</v>
      </c>
      <c r="S87" s="318">
        <v>1.2755769226987386E-9</v>
      </c>
      <c r="T87" s="324">
        <v>5</v>
      </c>
      <c r="V87" s="310" t="s">
        <v>188</v>
      </c>
      <c r="W87" s="334">
        <v>0.45</v>
      </c>
      <c r="X87" s="310">
        <v>2</v>
      </c>
      <c r="Z87" s="319" t="s">
        <v>188</v>
      </c>
      <c r="AA87" s="343">
        <v>0.17588017661650179</v>
      </c>
      <c r="AB87" s="319">
        <v>5</v>
      </c>
      <c r="AD87" s="316" t="s">
        <v>188</v>
      </c>
      <c r="AE87" s="337">
        <v>0.20729826258943759</v>
      </c>
      <c r="AF87" s="322">
        <v>4</v>
      </c>
      <c r="AI87" s="319" t="s">
        <v>188</v>
      </c>
      <c r="AJ87" s="318">
        <v>1.0714931378650786E-9</v>
      </c>
      <c r="AK87" s="324">
        <v>5</v>
      </c>
      <c r="AM87" s="310" t="s">
        <v>188</v>
      </c>
      <c r="AN87" s="334">
        <v>0.42922374429223742</v>
      </c>
      <c r="AO87" s="321">
        <v>2</v>
      </c>
      <c r="AQ87" s="319" t="s">
        <v>188</v>
      </c>
      <c r="AR87" s="330">
        <v>0.11762561010645409</v>
      </c>
      <c r="AS87" s="324">
        <v>5</v>
      </c>
      <c r="AU87" s="316" t="s">
        <v>188</v>
      </c>
      <c r="AV87" s="337">
        <v>0.22241920037416069</v>
      </c>
      <c r="AW87" s="322">
        <v>4</v>
      </c>
      <c r="AZ87" s="307">
        <f t="shared" si="7"/>
        <v>15</v>
      </c>
      <c r="BA87" s="307">
        <f t="shared" si="8"/>
        <v>16</v>
      </c>
      <c r="BB87" s="307">
        <f t="shared" si="9"/>
        <v>16</v>
      </c>
      <c r="BE87" t="s">
        <v>142</v>
      </c>
      <c r="BF87">
        <v>2018</v>
      </c>
      <c r="BG87">
        <f>BA30</f>
        <v>12</v>
      </c>
      <c r="BH87">
        <f t="shared" si="10"/>
        <v>0</v>
      </c>
    </row>
    <row r="88" spans="1:60" x14ac:dyDescent="0.2">
      <c r="A88" s="314" t="s">
        <v>654</v>
      </c>
      <c r="B88" s="315">
        <v>3.5639367668216471E-10</v>
      </c>
      <c r="C88" s="322">
        <v>3</v>
      </c>
      <c r="E88" s="308" t="s">
        <v>654</v>
      </c>
      <c r="F88" s="308">
        <v>0.52127659574468088</v>
      </c>
      <c r="G88" s="321">
        <v>2</v>
      </c>
      <c r="I88" s="317" t="s">
        <v>654</v>
      </c>
      <c r="J88" s="330">
        <v>1.5276169017636903E-2</v>
      </c>
      <c r="K88" s="324">
        <v>5</v>
      </c>
      <c r="M88" s="308" t="s">
        <v>654</v>
      </c>
      <c r="N88" s="334">
        <v>9.059638062049355E-2</v>
      </c>
      <c r="O88" s="310">
        <v>5</v>
      </c>
      <c r="R88" s="311" t="s">
        <v>654</v>
      </c>
      <c r="S88" s="312">
        <v>5.6303474166906621E-10</v>
      </c>
      <c r="T88" s="323">
        <v>4</v>
      </c>
      <c r="V88" s="310" t="s">
        <v>654</v>
      </c>
      <c r="W88" s="334">
        <v>0.41544117647058826</v>
      </c>
      <c r="X88" s="310">
        <v>2</v>
      </c>
      <c r="Z88" s="319" t="s">
        <v>654</v>
      </c>
      <c r="AA88" s="343">
        <v>1.7763648197521065E-2</v>
      </c>
      <c r="AB88" s="319">
        <v>5</v>
      </c>
      <c r="AD88" s="310" t="s">
        <v>654</v>
      </c>
      <c r="AE88" s="334">
        <v>8.9793143551501906E-2</v>
      </c>
      <c r="AF88" s="321">
        <v>5</v>
      </c>
      <c r="AI88" s="313" t="s">
        <v>654</v>
      </c>
      <c r="AJ88" s="312">
        <v>5.0057398380573765E-10</v>
      </c>
      <c r="AK88" s="323">
        <v>4</v>
      </c>
      <c r="AM88" s="310" t="s">
        <v>654</v>
      </c>
      <c r="AN88" s="334">
        <v>0.37024221453287198</v>
      </c>
      <c r="AO88" s="321">
        <v>2</v>
      </c>
      <c r="AQ88" s="319" t="s">
        <v>654</v>
      </c>
      <c r="AR88" s="330">
        <v>1.4911701007350965E-2</v>
      </c>
      <c r="AS88" s="324">
        <v>5</v>
      </c>
      <c r="AU88" s="310" t="s">
        <v>654</v>
      </c>
      <c r="AV88" s="334">
        <v>8.7397126177872722E-2</v>
      </c>
      <c r="AW88" s="321">
        <v>5</v>
      </c>
      <c r="AZ88" s="307">
        <f t="shared" si="7"/>
        <v>15</v>
      </c>
      <c r="BA88" s="307">
        <f t="shared" si="8"/>
        <v>16</v>
      </c>
      <c r="BB88" s="307">
        <f t="shared" si="9"/>
        <v>16</v>
      </c>
      <c r="BE88" t="s">
        <v>142</v>
      </c>
      <c r="BF88">
        <v>2019</v>
      </c>
      <c r="BG88">
        <f>BB30</f>
        <v>12</v>
      </c>
      <c r="BH88">
        <f t="shared" si="10"/>
        <v>0</v>
      </c>
    </row>
    <row r="89" spans="1:60" x14ac:dyDescent="0.2">
      <c r="A89" s="308" t="s">
        <v>377</v>
      </c>
      <c r="B89" s="309">
        <v>1.9203747900938063E-10</v>
      </c>
      <c r="C89" s="321">
        <v>2</v>
      </c>
      <c r="E89" s="314" t="s">
        <v>377</v>
      </c>
      <c r="F89" s="314">
        <v>1.1866666666666668</v>
      </c>
      <c r="G89" s="322">
        <v>3</v>
      </c>
      <c r="I89" s="311" t="s">
        <v>377</v>
      </c>
      <c r="J89" s="329">
        <v>1.5214625752860542E-3</v>
      </c>
      <c r="K89" s="323">
        <v>4</v>
      </c>
      <c r="M89" s="308" t="s">
        <v>377</v>
      </c>
      <c r="N89" s="334">
        <v>1.3161580790621052E-2</v>
      </c>
      <c r="O89" s="310">
        <v>5</v>
      </c>
      <c r="R89" s="308" t="s">
        <v>377</v>
      </c>
      <c r="S89" s="309">
        <v>1.5686698579582848E-10</v>
      </c>
      <c r="T89" s="321">
        <v>2</v>
      </c>
      <c r="V89" s="316" t="s">
        <v>377</v>
      </c>
      <c r="W89" s="337">
        <v>0.85411471321695764</v>
      </c>
      <c r="X89" s="316">
        <v>3</v>
      </c>
      <c r="Z89" s="313" t="s">
        <v>377</v>
      </c>
      <c r="AA89" s="340">
        <v>3.4994316296982041E-3</v>
      </c>
      <c r="AB89" s="313">
        <v>4</v>
      </c>
      <c r="AD89" s="310" t="s">
        <v>377</v>
      </c>
      <c r="AE89" s="334">
        <v>8.2271594799816061E-3</v>
      </c>
      <c r="AF89" s="321">
        <v>5</v>
      </c>
      <c r="AI89" s="310" t="s">
        <v>377</v>
      </c>
      <c r="AJ89" s="309">
        <v>1.4793288572188836E-10</v>
      </c>
      <c r="AK89" s="321">
        <v>2</v>
      </c>
      <c r="AM89" s="316" t="s">
        <v>377</v>
      </c>
      <c r="AN89" s="337">
        <v>1.1502659574468086</v>
      </c>
      <c r="AO89" s="322">
        <v>3</v>
      </c>
      <c r="AQ89" s="313" t="s">
        <v>377</v>
      </c>
      <c r="AR89" s="329">
        <v>1.6613002822176747E-3</v>
      </c>
      <c r="AS89" s="323">
        <v>4</v>
      </c>
      <c r="AU89" s="310" t="s">
        <v>377</v>
      </c>
      <c r="AV89" s="334">
        <v>6.7672703245637627E-3</v>
      </c>
      <c r="AW89" s="321">
        <v>5</v>
      </c>
      <c r="AZ89" s="307">
        <f t="shared" si="7"/>
        <v>14</v>
      </c>
      <c r="BA89" s="307">
        <f t="shared" si="8"/>
        <v>14</v>
      </c>
      <c r="BB89" s="307">
        <f t="shared" si="9"/>
        <v>14</v>
      </c>
      <c r="BE89" t="s">
        <v>419</v>
      </c>
      <c r="BF89">
        <v>2017</v>
      </c>
      <c r="BG89">
        <f>AZ31</f>
        <v>14</v>
      </c>
      <c r="BH89">
        <f t="shared" si="10"/>
        <v>1</v>
      </c>
    </row>
    <row r="90" spans="1:60" x14ac:dyDescent="0.2">
      <c r="A90" s="308" t="s">
        <v>193</v>
      </c>
      <c r="B90" s="309">
        <v>1.8770337104552013E-10</v>
      </c>
      <c r="C90" s="321">
        <v>2</v>
      </c>
      <c r="E90" s="317" t="s">
        <v>193</v>
      </c>
      <c r="F90" s="317">
        <v>27.079207920792079</v>
      </c>
      <c r="G90" s="324">
        <v>5</v>
      </c>
      <c r="I90" s="317" t="s">
        <v>193</v>
      </c>
      <c r="J90" s="330">
        <v>0.10965087584615733</v>
      </c>
      <c r="K90" s="324">
        <v>5</v>
      </c>
      <c r="M90" s="317" t="s">
        <v>193</v>
      </c>
      <c r="N90" s="336">
        <v>0.63326007128274975</v>
      </c>
      <c r="O90" s="319">
        <v>2</v>
      </c>
      <c r="R90" s="308" t="s">
        <v>193</v>
      </c>
      <c r="S90" s="309">
        <v>1.300771707292238E-10</v>
      </c>
      <c r="T90" s="321">
        <v>2</v>
      </c>
      <c r="V90" s="319" t="s">
        <v>193</v>
      </c>
      <c r="W90" s="336">
        <v>28.880866425992778</v>
      </c>
      <c r="X90" s="319">
        <v>5</v>
      </c>
      <c r="Z90" s="319" t="s">
        <v>193</v>
      </c>
      <c r="AA90" s="343">
        <v>6.2781396782646076E-2</v>
      </c>
      <c r="AB90" s="319">
        <v>5</v>
      </c>
      <c r="AD90" s="319" t="s">
        <v>193</v>
      </c>
      <c r="AE90" s="336">
        <v>0.59763574056025404</v>
      </c>
      <c r="AF90" s="324">
        <v>2</v>
      </c>
      <c r="AI90" s="310" t="s">
        <v>193</v>
      </c>
      <c r="AJ90" s="309">
        <v>1.2609779854260044E-10</v>
      </c>
      <c r="AK90" s="321">
        <v>2</v>
      </c>
      <c r="AM90" s="319" t="s">
        <v>193</v>
      </c>
      <c r="AN90" s="336">
        <v>28.545119705340699</v>
      </c>
      <c r="AO90" s="324">
        <v>5</v>
      </c>
      <c r="AQ90" s="319" t="s">
        <v>193</v>
      </c>
      <c r="AR90" s="330">
        <v>6.39606833530698E-2</v>
      </c>
      <c r="AS90" s="324">
        <v>5</v>
      </c>
      <c r="AU90" s="319" t="s">
        <v>193</v>
      </c>
      <c r="AV90" s="336">
        <v>0.67573997292613885</v>
      </c>
      <c r="AW90" s="357">
        <v>2</v>
      </c>
      <c r="AZ90" s="307">
        <f t="shared" si="7"/>
        <v>14</v>
      </c>
      <c r="BA90" s="307">
        <f t="shared" si="8"/>
        <v>14</v>
      </c>
      <c r="BB90" s="307">
        <f t="shared" si="9"/>
        <v>14</v>
      </c>
      <c r="BE90" t="s">
        <v>419</v>
      </c>
      <c r="BF90">
        <v>2018</v>
      </c>
      <c r="BG90">
        <f>BA31</f>
        <v>14</v>
      </c>
      <c r="BH90">
        <f t="shared" si="10"/>
        <v>1</v>
      </c>
    </row>
    <row r="91" spans="1:60" x14ac:dyDescent="0.2">
      <c r="A91" s="317" t="s">
        <v>814</v>
      </c>
      <c r="B91" s="318">
        <v>1.0937676794344736E-9</v>
      </c>
      <c r="C91" s="324">
        <v>5</v>
      </c>
      <c r="E91" s="311" t="s">
        <v>814</v>
      </c>
      <c r="F91" s="311">
        <v>1.9738863287250383</v>
      </c>
      <c r="G91" s="323">
        <v>4</v>
      </c>
      <c r="I91" s="317" t="s">
        <v>814</v>
      </c>
      <c r="J91" s="330">
        <v>3.6976266914477689E-2</v>
      </c>
      <c r="K91" s="324">
        <v>5</v>
      </c>
      <c r="M91" s="311" t="s">
        <v>814</v>
      </c>
      <c r="N91" s="335">
        <v>0.35245310726876433</v>
      </c>
      <c r="O91" s="313">
        <v>3</v>
      </c>
      <c r="R91" s="317" t="s">
        <v>814</v>
      </c>
      <c r="S91" s="318">
        <v>1.0460907279176723E-9</v>
      </c>
      <c r="T91" s="324">
        <v>5</v>
      </c>
      <c r="V91" s="316" t="s">
        <v>814</v>
      </c>
      <c r="W91" s="337">
        <v>0.9759547383309759</v>
      </c>
      <c r="X91" s="316">
        <v>3</v>
      </c>
      <c r="Z91" s="319" t="s">
        <v>814</v>
      </c>
      <c r="AA91" s="343">
        <v>4.026542520357259E-2</v>
      </c>
      <c r="AB91" s="319">
        <v>5</v>
      </c>
      <c r="AD91" s="313" t="s">
        <v>814</v>
      </c>
      <c r="AE91" s="335">
        <v>0.33916278732733923</v>
      </c>
      <c r="AF91" s="323">
        <v>3</v>
      </c>
      <c r="AI91" s="313" t="s">
        <v>814</v>
      </c>
      <c r="AJ91" s="312">
        <v>8.7330075963399186E-10</v>
      </c>
      <c r="AK91" s="323">
        <v>4</v>
      </c>
      <c r="AM91" s="313" t="s">
        <v>814</v>
      </c>
      <c r="AN91" s="335">
        <v>1.9591346153846154</v>
      </c>
      <c r="AO91" s="323">
        <v>4</v>
      </c>
      <c r="AQ91" s="319" t="s">
        <v>814</v>
      </c>
      <c r="AR91" s="330">
        <v>3.7090801132238324E-2</v>
      </c>
      <c r="AS91" s="324">
        <v>5</v>
      </c>
      <c r="AU91" s="354" t="s">
        <v>814</v>
      </c>
      <c r="AV91" s="355">
        <v>0.31858196959817631</v>
      </c>
      <c r="AW91" s="356">
        <v>3</v>
      </c>
      <c r="AZ91" s="307">
        <f t="shared" si="7"/>
        <v>17</v>
      </c>
      <c r="BA91" s="307">
        <f t="shared" si="8"/>
        <v>16</v>
      </c>
      <c r="BB91" s="307">
        <f t="shared" si="9"/>
        <v>16</v>
      </c>
      <c r="BE91" t="s">
        <v>419</v>
      </c>
      <c r="BF91">
        <v>2019</v>
      </c>
      <c r="BG91">
        <f>BB31</f>
        <v>14</v>
      </c>
      <c r="BH91">
        <f t="shared" si="10"/>
        <v>1</v>
      </c>
    </row>
    <row r="92" spans="1:60" x14ac:dyDescent="0.2">
      <c r="A92" s="308" t="s">
        <v>818</v>
      </c>
      <c r="B92" s="309">
        <v>1.4273203918392335E-10</v>
      </c>
      <c r="C92" s="321">
        <v>2</v>
      </c>
      <c r="E92" s="314" t="s">
        <v>818</v>
      </c>
      <c r="F92" s="314">
        <v>0.93629343629343631</v>
      </c>
      <c r="G92" s="322">
        <v>3</v>
      </c>
      <c r="I92" s="311" t="s">
        <v>818</v>
      </c>
      <c r="J92" s="329">
        <v>1.3129669135819047E-2</v>
      </c>
      <c r="K92" s="323">
        <v>4</v>
      </c>
      <c r="M92" s="311" t="s">
        <v>818</v>
      </c>
      <c r="N92" s="335">
        <v>0.34805949874011555</v>
      </c>
      <c r="O92" s="313">
        <v>3</v>
      </c>
      <c r="R92" s="308" t="s">
        <v>818</v>
      </c>
      <c r="S92" s="309">
        <v>1.5219977116553629E-10</v>
      </c>
      <c r="T92" s="321">
        <v>2</v>
      </c>
      <c r="V92" s="310" t="s">
        <v>818</v>
      </c>
      <c r="W92" s="334">
        <v>0.46079429735234217</v>
      </c>
      <c r="X92" s="310">
        <v>2</v>
      </c>
      <c r="Z92" s="313" t="s">
        <v>818</v>
      </c>
      <c r="AA92" s="340">
        <v>7.5788439172156568E-3</v>
      </c>
      <c r="AB92" s="313">
        <v>4</v>
      </c>
      <c r="AD92" s="316" t="s">
        <v>818</v>
      </c>
      <c r="AE92" s="337">
        <v>0.23715243062553257</v>
      </c>
      <c r="AF92" s="322">
        <v>4</v>
      </c>
      <c r="AI92" s="310" t="s">
        <v>818</v>
      </c>
      <c r="AJ92" s="309">
        <v>1.333081859312653E-10</v>
      </c>
      <c r="AK92" s="321">
        <v>2</v>
      </c>
      <c r="AM92" s="310" t="s">
        <v>818</v>
      </c>
      <c r="AN92" s="334">
        <v>0.40847665847665848</v>
      </c>
      <c r="AO92" s="321">
        <v>2</v>
      </c>
      <c r="AQ92" s="313" t="s">
        <v>818</v>
      </c>
      <c r="AR92" s="329">
        <v>7.6110530918580216E-3</v>
      </c>
      <c r="AS92" s="323">
        <v>4</v>
      </c>
      <c r="AU92" s="316" t="s">
        <v>818</v>
      </c>
      <c r="AV92" s="337">
        <v>0.29992489293609859</v>
      </c>
      <c r="AW92" s="322">
        <v>4</v>
      </c>
      <c r="AZ92" s="307">
        <f t="shared" si="7"/>
        <v>12</v>
      </c>
      <c r="BA92" s="307">
        <f t="shared" si="8"/>
        <v>12</v>
      </c>
      <c r="BB92" s="307">
        <f t="shared" si="9"/>
        <v>12</v>
      </c>
      <c r="BE92" t="s">
        <v>423</v>
      </c>
      <c r="BF92">
        <v>2017</v>
      </c>
      <c r="BG92">
        <f>AZ32</f>
        <v>11</v>
      </c>
      <c r="BH92">
        <f t="shared" si="10"/>
        <v>0</v>
      </c>
    </row>
    <row r="93" spans="1:60" x14ac:dyDescent="0.2">
      <c r="A93" s="317" t="s">
        <v>196</v>
      </c>
      <c r="B93" s="318">
        <v>5.8518272162696091E-9</v>
      </c>
      <c r="C93" s="324">
        <v>5</v>
      </c>
      <c r="E93" s="308" t="s">
        <v>196</v>
      </c>
      <c r="F93" s="308">
        <v>0.24065420560747663</v>
      </c>
      <c r="G93" s="321">
        <v>2</v>
      </c>
      <c r="I93" s="317" t="s">
        <v>196</v>
      </c>
      <c r="J93" s="330">
        <v>0.20776861333534546</v>
      </c>
      <c r="K93" s="324">
        <v>5</v>
      </c>
      <c r="M93" s="308" t="s">
        <v>196</v>
      </c>
      <c r="N93" s="334">
        <v>0.12633984645415558</v>
      </c>
      <c r="O93" s="310">
        <v>5</v>
      </c>
      <c r="R93" s="317" t="s">
        <v>196</v>
      </c>
      <c r="S93" s="318">
        <v>6.0817222767545467E-9</v>
      </c>
      <c r="T93" s="324">
        <v>5</v>
      </c>
      <c r="V93" s="310" t="s">
        <v>196</v>
      </c>
      <c r="W93" s="334">
        <v>0.20838183934807916</v>
      </c>
      <c r="X93" s="310">
        <v>2</v>
      </c>
      <c r="Z93" s="319" t="s">
        <v>196</v>
      </c>
      <c r="AA93" s="343">
        <v>0.13047723019762422</v>
      </c>
      <c r="AB93" s="319">
        <v>5</v>
      </c>
      <c r="AD93" s="310" t="s">
        <v>196</v>
      </c>
      <c r="AE93" s="334">
        <v>0.11671326754014287</v>
      </c>
      <c r="AF93" s="321">
        <v>5</v>
      </c>
      <c r="AI93" s="319" t="s">
        <v>196</v>
      </c>
      <c r="AJ93" s="318">
        <v>5.5172490099156264E-9</v>
      </c>
      <c r="AK93" s="324">
        <v>5</v>
      </c>
      <c r="AM93" s="310" t="s">
        <v>196</v>
      </c>
      <c r="AN93" s="334">
        <v>0.17770034843205576</v>
      </c>
      <c r="AO93" s="321">
        <v>2</v>
      </c>
      <c r="AQ93" s="319" t="s">
        <v>196</v>
      </c>
      <c r="AR93" s="330">
        <v>0.16925960108525842</v>
      </c>
      <c r="AS93" s="324">
        <v>5</v>
      </c>
      <c r="AU93" s="310" t="s">
        <v>196</v>
      </c>
      <c r="AV93" s="334">
        <v>0.1029960505502627</v>
      </c>
      <c r="AW93" s="321">
        <v>5</v>
      </c>
      <c r="AZ93" s="307">
        <f t="shared" si="7"/>
        <v>17</v>
      </c>
      <c r="BA93" s="307">
        <f t="shared" si="8"/>
        <v>17</v>
      </c>
      <c r="BB93" s="307">
        <f t="shared" si="9"/>
        <v>17</v>
      </c>
      <c r="BE93" t="s">
        <v>423</v>
      </c>
      <c r="BF93">
        <v>2018</v>
      </c>
      <c r="BG93">
        <f>BA32</f>
        <v>14</v>
      </c>
      <c r="BH93">
        <f t="shared" si="10"/>
        <v>1</v>
      </c>
    </row>
    <row r="94" spans="1:60" x14ac:dyDescent="0.2">
      <c r="A94" s="314" t="s">
        <v>381</v>
      </c>
      <c r="B94" s="315">
        <v>2.7900528825238792E-10</v>
      </c>
      <c r="C94" s="322">
        <v>3</v>
      </c>
      <c r="E94" s="314" t="s">
        <v>381</v>
      </c>
      <c r="F94" s="314">
        <v>1.1200000000000001</v>
      </c>
      <c r="G94" s="322">
        <v>3</v>
      </c>
      <c r="I94" s="308" t="s">
        <v>381</v>
      </c>
      <c r="J94" s="327">
        <v>0</v>
      </c>
      <c r="K94" s="321">
        <v>2</v>
      </c>
      <c r="M94" s="311" t="s">
        <v>381</v>
      </c>
      <c r="N94" s="335">
        <v>0.32526902086989978</v>
      </c>
      <c r="O94" s="313">
        <v>3</v>
      </c>
      <c r="R94" s="308" t="s">
        <v>381</v>
      </c>
      <c r="S94" s="309">
        <v>1.9964749808695865E-10</v>
      </c>
      <c r="T94" s="321">
        <v>2</v>
      </c>
      <c r="V94" s="313" t="s">
        <v>381</v>
      </c>
      <c r="W94" s="335">
        <v>1.3914780292942743</v>
      </c>
      <c r="X94" s="313">
        <v>4</v>
      </c>
      <c r="Z94" s="310" t="s">
        <v>381</v>
      </c>
      <c r="AA94" s="341">
        <v>0</v>
      </c>
      <c r="AB94" s="310">
        <v>2</v>
      </c>
      <c r="AD94" s="316" t="s">
        <v>381</v>
      </c>
      <c r="AE94" s="337">
        <v>0.28223843450982261</v>
      </c>
      <c r="AF94" s="322">
        <v>4</v>
      </c>
      <c r="AI94" s="310" t="s">
        <v>381</v>
      </c>
      <c r="AJ94" s="309">
        <v>1.9171290896742226E-10</v>
      </c>
      <c r="AK94" s="321">
        <v>2</v>
      </c>
      <c r="AM94" s="313" t="s">
        <v>381</v>
      </c>
      <c r="AN94" s="335">
        <v>1.677461139896373</v>
      </c>
      <c r="AO94" s="323">
        <v>4</v>
      </c>
      <c r="AQ94" s="310" t="s">
        <v>381</v>
      </c>
      <c r="AR94" s="327">
        <v>0</v>
      </c>
      <c r="AS94" s="321">
        <v>2</v>
      </c>
      <c r="AU94" s="316" t="s">
        <v>381</v>
      </c>
      <c r="AV94" s="337">
        <v>0.26772826202396044</v>
      </c>
      <c r="AW94" s="322">
        <v>4</v>
      </c>
      <c r="AZ94" s="307">
        <f t="shared" si="7"/>
        <v>11</v>
      </c>
      <c r="BA94" s="307">
        <f t="shared" si="8"/>
        <v>12</v>
      </c>
      <c r="BB94" s="307">
        <f t="shared" si="9"/>
        <v>12</v>
      </c>
      <c r="BE94" t="s">
        <v>423</v>
      </c>
      <c r="BF94">
        <v>2019</v>
      </c>
      <c r="BG94">
        <f>BB32</f>
        <v>14</v>
      </c>
      <c r="BH94">
        <f t="shared" si="10"/>
        <v>1</v>
      </c>
    </row>
    <row r="95" spans="1:60" x14ac:dyDescent="0.2">
      <c r="A95" s="314" t="s">
        <v>199</v>
      </c>
      <c r="B95" s="315">
        <v>3.0501462371361968E-10</v>
      </c>
      <c r="C95" s="322">
        <v>3</v>
      </c>
      <c r="E95" s="317" t="s">
        <v>199</v>
      </c>
      <c r="F95" s="317">
        <v>6.1585365853658534</v>
      </c>
      <c r="G95" s="324">
        <v>5</v>
      </c>
      <c r="I95" s="317" t="s">
        <v>199</v>
      </c>
      <c r="J95" s="330">
        <v>6.8196220321156811E-2</v>
      </c>
      <c r="K95" s="324">
        <v>5</v>
      </c>
      <c r="M95" s="314" t="s">
        <v>199</v>
      </c>
      <c r="N95" s="337">
        <v>0.26741737693771078</v>
      </c>
      <c r="O95" s="316">
        <v>4</v>
      </c>
      <c r="R95" s="314" t="s">
        <v>199</v>
      </c>
      <c r="S95" s="315">
        <v>4.4075836813672688E-10</v>
      </c>
      <c r="T95" s="322">
        <v>3</v>
      </c>
      <c r="V95" s="319" t="s">
        <v>199</v>
      </c>
      <c r="W95" s="336">
        <v>6.8586387434554972</v>
      </c>
      <c r="X95" s="319">
        <v>5</v>
      </c>
      <c r="Z95" s="319" t="s">
        <v>199</v>
      </c>
      <c r="AA95" s="343">
        <v>0.10103706728720457</v>
      </c>
      <c r="AB95" s="319">
        <v>5</v>
      </c>
      <c r="AD95" s="316" t="s">
        <v>199</v>
      </c>
      <c r="AE95" s="337">
        <v>0.24206295977477746</v>
      </c>
      <c r="AF95" s="322">
        <v>4</v>
      </c>
      <c r="AI95" s="316" t="s">
        <v>199</v>
      </c>
      <c r="AJ95" s="315">
        <v>3.6185296969802835E-10</v>
      </c>
      <c r="AK95" s="322">
        <v>3</v>
      </c>
      <c r="AM95" s="319" t="s">
        <v>199</v>
      </c>
      <c r="AN95" s="336">
        <v>4.6380090497737561</v>
      </c>
      <c r="AO95" s="324">
        <v>5</v>
      </c>
      <c r="AQ95" s="319" t="s">
        <v>199</v>
      </c>
      <c r="AR95" s="330">
        <v>0.13558421318399042</v>
      </c>
      <c r="AS95" s="324">
        <v>5</v>
      </c>
      <c r="AU95" s="316" t="s">
        <v>199</v>
      </c>
      <c r="AV95" s="337">
        <v>0.24556065538190477</v>
      </c>
      <c r="AW95" s="322">
        <v>4</v>
      </c>
      <c r="AZ95" s="307">
        <f t="shared" si="7"/>
        <v>17</v>
      </c>
      <c r="BA95" s="307">
        <f t="shared" si="8"/>
        <v>17</v>
      </c>
      <c r="BB95" s="307">
        <f t="shared" si="9"/>
        <v>17</v>
      </c>
      <c r="BE95" t="s">
        <v>427</v>
      </c>
      <c r="BF95">
        <v>2017</v>
      </c>
      <c r="BG95">
        <f>AZ33</f>
        <v>14</v>
      </c>
      <c r="BH95">
        <f t="shared" si="10"/>
        <v>1</v>
      </c>
    </row>
    <row r="96" spans="1:60" x14ac:dyDescent="0.2">
      <c r="A96" s="317" t="s">
        <v>568</v>
      </c>
      <c r="B96" s="318">
        <v>5.0017381722756331E-9</v>
      </c>
      <c r="C96" s="324">
        <v>5</v>
      </c>
      <c r="E96" s="314" t="s">
        <v>568</v>
      </c>
      <c r="F96" s="314">
        <v>1.0985626283367556</v>
      </c>
      <c r="G96" s="322">
        <v>3</v>
      </c>
      <c r="I96" s="308" t="s">
        <v>568</v>
      </c>
      <c r="J96" s="327">
        <v>0</v>
      </c>
      <c r="K96" s="321">
        <v>2</v>
      </c>
      <c r="M96" s="314" t="s">
        <v>568</v>
      </c>
      <c r="N96" s="337">
        <v>0.21161156777926723</v>
      </c>
      <c r="O96" s="316">
        <v>4</v>
      </c>
      <c r="R96" s="317" t="s">
        <v>568</v>
      </c>
      <c r="S96" s="318">
        <v>4.2056951856387402E-9</v>
      </c>
      <c r="T96" s="324">
        <v>5</v>
      </c>
      <c r="V96" s="316" t="s">
        <v>568</v>
      </c>
      <c r="W96" s="337">
        <v>0.97864768683274017</v>
      </c>
      <c r="X96" s="316">
        <v>3</v>
      </c>
      <c r="Z96" s="310" t="s">
        <v>568</v>
      </c>
      <c r="AA96" s="341">
        <v>0</v>
      </c>
      <c r="AB96" s="310">
        <v>2</v>
      </c>
      <c r="AD96" s="316" t="s">
        <v>568</v>
      </c>
      <c r="AE96" s="337">
        <v>0.19691462627129824</v>
      </c>
      <c r="AF96" s="322">
        <v>4</v>
      </c>
      <c r="AI96" s="319" t="s">
        <v>568</v>
      </c>
      <c r="AJ96" s="318">
        <v>4.1038080648280239E-9</v>
      </c>
      <c r="AK96" s="324">
        <v>5</v>
      </c>
      <c r="AM96" s="316" t="s">
        <v>568</v>
      </c>
      <c r="AN96" s="337">
        <v>0.897887323943662</v>
      </c>
      <c r="AO96" s="322">
        <v>3</v>
      </c>
      <c r="AQ96" s="310" t="s">
        <v>568</v>
      </c>
      <c r="AR96" s="327">
        <v>0</v>
      </c>
      <c r="AS96" s="321">
        <v>2</v>
      </c>
      <c r="AU96" s="310" t="s">
        <v>568</v>
      </c>
      <c r="AV96" s="334">
        <v>0.17254077594024825</v>
      </c>
      <c r="AW96" s="321">
        <v>5</v>
      </c>
      <c r="AZ96" s="307">
        <f t="shared" si="7"/>
        <v>14</v>
      </c>
      <c r="BA96" s="307">
        <f t="shared" si="8"/>
        <v>14</v>
      </c>
      <c r="BB96" s="307">
        <f t="shared" si="9"/>
        <v>15</v>
      </c>
      <c r="BE96" t="s">
        <v>427</v>
      </c>
      <c r="BF96">
        <v>2018</v>
      </c>
      <c r="BG96">
        <f>BA33</f>
        <v>14</v>
      </c>
      <c r="BH96">
        <f t="shared" si="10"/>
        <v>1</v>
      </c>
    </row>
    <row r="97" spans="1:60" x14ac:dyDescent="0.2">
      <c r="A97" s="308" t="s">
        <v>675</v>
      </c>
      <c r="B97" s="309">
        <v>2.0156592602924024E-10</v>
      </c>
      <c r="C97" s="321">
        <v>2</v>
      </c>
      <c r="E97" s="317" t="s">
        <v>675</v>
      </c>
      <c r="F97" s="317">
        <v>4.2372881355932206</v>
      </c>
      <c r="G97" s="324">
        <v>5</v>
      </c>
      <c r="I97" s="308" t="s">
        <v>675</v>
      </c>
      <c r="J97" s="327">
        <v>0</v>
      </c>
      <c r="K97" s="321">
        <v>2</v>
      </c>
      <c r="M97" s="308" t="s">
        <v>675</v>
      </c>
      <c r="N97" s="334">
        <v>8.1921088975407369E-2</v>
      </c>
      <c r="O97" s="310">
        <v>5</v>
      </c>
      <c r="R97" s="314" t="s">
        <v>675</v>
      </c>
      <c r="S97" s="315">
        <v>3.6242882678910832E-10</v>
      </c>
      <c r="T97" s="322">
        <v>3</v>
      </c>
      <c r="V97" s="313" t="s">
        <v>675</v>
      </c>
      <c r="W97" s="335">
        <v>1.9475138121546962</v>
      </c>
      <c r="X97" s="313">
        <v>4</v>
      </c>
      <c r="Z97" s="310" t="s">
        <v>675</v>
      </c>
      <c r="AA97" s="341">
        <v>0</v>
      </c>
      <c r="AB97" s="310">
        <v>2</v>
      </c>
      <c r="AD97" s="316" t="s">
        <v>675</v>
      </c>
      <c r="AE97" s="337">
        <v>0.22068814325756864</v>
      </c>
      <c r="AF97" s="322">
        <v>4</v>
      </c>
      <c r="AI97" s="316" t="s">
        <v>675</v>
      </c>
      <c r="AJ97" s="315">
        <v>2.2212554029868396E-10</v>
      </c>
      <c r="AK97" s="322">
        <v>3</v>
      </c>
      <c r="AM97" s="313" t="s">
        <v>675</v>
      </c>
      <c r="AN97" s="335">
        <v>1.9553072625698324</v>
      </c>
      <c r="AO97" s="323">
        <v>4</v>
      </c>
      <c r="AQ97" s="310" t="s">
        <v>675</v>
      </c>
      <c r="AR97" s="327">
        <v>0</v>
      </c>
      <c r="AS97" s="321">
        <v>2</v>
      </c>
      <c r="AU97" s="316" t="s">
        <v>675</v>
      </c>
      <c r="AV97" s="337">
        <v>0.20151555883656114</v>
      </c>
      <c r="AW97" s="322">
        <v>4</v>
      </c>
      <c r="AZ97" s="307">
        <f t="shared" si="7"/>
        <v>14</v>
      </c>
      <c r="BA97" s="307">
        <f t="shared" si="8"/>
        <v>13</v>
      </c>
      <c r="BB97" s="307">
        <f t="shared" si="9"/>
        <v>13</v>
      </c>
      <c r="BE97" t="s">
        <v>427</v>
      </c>
      <c r="BF97">
        <v>2019</v>
      </c>
      <c r="BG97">
        <f>BB33</f>
        <v>13</v>
      </c>
      <c r="BH97">
        <f t="shared" si="10"/>
        <v>1</v>
      </c>
    </row>
    <row r="98" spans="1:60" x14ac:dyDescent="0.2">
      <c r="A98" s="308" t="s">
        <v>301</v>
      </c>
      <c r="B98" s="309">
        <v>5.7104721692236338E-11</v>
      </c>
      <c r="C98" s="321">
        <v>2</v>
      </c>
      <c r="E98" s="314" t="s">
        <v>301</v>
      </c>
      <c r="F98" s="314">
        <v>0.98925946862634262</v>
      </c>
      <c r="G98" s="322">
        <v>3</v>
      </c>
      <c r="I98" s="311" t="s">
        <v>301</v>
      </c>
      <c r="J98" s="329">
        <v>3.0525976207138538E-3</v>
      </c>
      <c r="K98" s="323">
        <v>4</v>
      </c>
      <c r="M98" s="314" t="s">
        <v>301</v>
      </c>
      <c r="N98" s="337">
        <v>0.27115506744584383</v>
      </c>
      <c r="O98" s="316">
        <v>4</v>
      </c>
      <c r="R98" s="308" t="s">
        <v>301</v>
      </c>
      <c r="S98" s="309">
        <v>4.9965370202044092E-11</v>
      </c>
      <c r="T98" s="321">
        <v>2</v>
      </c>
      <c r="V98" s="316" t="s">
        <v>301</v>
      </c>
      <c r="W98" s="337">
        <v>1.1041666666666667</v>
      </c>
      <c r="X98" s="316">
        <v>3</v>
      </c>
      <c r="Z98" s="313" t="s">
        <v>301</v>
      </c>
      <c r="AA98" s="340">
        <v>1.60757781109672E-3</v>
      </c>
      <c r="AB98" s="313">
        <v>4</v>
      </c>
      <c r="AD98" s="313" t="s">
        <v>301</v>
      </c>
      <c r="AE98" s="335">
        <v>0.36041194399174903</v>
      </c>
      <c r="AF98" s="323">
        <v>3</v>
      </c>
      <c r="AI98" s="310" t="s">
        <v>301</v>
      </c>
      <c r="AJ98" s="309">
        <v>5.7881564834722441E-11</v>
      </c>
      <c r="AK98" s="321">
        <v>2</v>
      </c>
      <c r="AM98" s="316" t="s">
        <v>301</v>
      </c>
      <c r="AN98" s="337">
        <v>1.1666666666666667</v>
      </c>
      <c r="AO98" s="322">
        <v>3</v>
      </c>
      <c r="AQ98" s="316" t="s">
        <v>301</v>
      </c>
      <c r="AR98" s="328">
        <v>1.4150377988597618E-3</v>
      </c>
      <c r="AS98" s="322">
        <v>3</v>
      </c>
      <c r="AU98" s="354" t="s">
        <v>301</v>
      </c>
      <c r="AV98" s="355">
        <v>0.37263445754791713</v>
      </c>
      <c r="AW98" s="356">
        <v>3</v>
      </c>
      <c r="AZ98" s="307">
        <f t="shared" ref="AZ98:AZ129" si="11">C98+G98+K98+O98</f>
        <v>13</v>
      </c>
      <c r="BA98" s="307">
        <f t="shared" ref="BA98:BA129" si="12">T98+X98+AB98+AF98</f>
        <v>12</v>
      </c>
      <c r="BB98" s="307">
        <f t="shared" ref="BB98:BB129" si="13">AK98+AO98+AS98+AW98</f>
        <v>11</v>
      </c>
      <c r="BE98" t="s">
        <v>622</v>
      </c>
      <c r="BF98">
        <v>2017</v>
      </c>
      <c r="BG98">
        <f>AZ34</f>
        <v>16</v>
      </c>
      <c r="BH98">
        <f t="shared" si="10"/>
        <v>1</v>
      </c>
    </row>
    <row r="99" spans="1:60" x14ac:dyDescent="0.2">
      <c r="A99" s="308" t="s">
        <v>384</v>
      </c>
      <c r="B99" s="309">
        <v>1.2100027579434677E-10</v>
      </c>
      <c r="C99" s="321">
        <v>2</v>
      </c>
      <c r="E99" s="311" t="s">
        <v>384</v>
      </c>
      <c r="F99" s="311">
        <v>2.0551378446115289</v>
      </c>
      <c r="G99" s="323">
        <v>4</v>
      </c>
      <c r="I99" s="308" t="s">
        <v>384</v>
      </c>
      <c r="J99" s="327">
        <v>0</v>
      </c>
      <c r="K99" s="321">
        <v>2</v>
      </c>
      <c r="M99" s="314" t="s">
        <v>384</v>
      </c>
      <c r="N99" s="337">
        <v>0.281946745880224</v>
      </c>
      <c r="O99" s="316">
        <v>4</v>
      </c>
      <c r="R99" s="308" t="s">
        <v>384</v>
      </c>
      <c r="S99" s="309">
        <v>9.6659927085533599E-11</v>
      </c>
      <c r="T99" s="321">
        <v>2</v>
      </c>
      <c r="V99" s="319" t="s">
        <v>384</v>
      </c>
      <c r="W99" s="336">
        <v>3.0453257790368271</v>
      </c>
      <c r="X99" s="319">
        <v>5</v>
      </c>
      <c r="Z99" s="310" t="s">
        <v>384</v>
      </c>
      <c r="AA99" s="341">
        <v>0</v>
      </c>
      <c r="AB99" s="310">
        <v>2</v>
      </c>
      <c r="AD99" s="316" t="s">
        <v>384</v>
      </c>
      <c r="AE99" s="337">
        <v>0.27086435890919813</v>
      </c>
      <c r="AF99" s="322">
        <v>4</v>
      </c>
      <c r="AI99" s="310" t="s">
        <v>384</v>
      </c>
      <c r="AJ99" s="309">
        <v>1.0092913553805281E-10</v>
      </c>
      <c r="AK99" s="321">
        <v>2</v>
      </c>
      <c r="AM99" s="313" t="s">
        <v>384</v>
      </c>
      <c r="AN99" s="335">
        <v>1.6635397123202</v>
      </c>
      <c r="AO99" s="323">
        <v>4</v>
      </c>
      <c r="AQ99" s="310" t="s">
        <v>384</v>
      </c>
      <c r="AR99" s="327">
        <v>0</v>
      </c>
      <c r="AS99" s="321">
        <v>2</v>
      </c>
      <c r="AU99" s="316" t="s">
        <v>384</v>
      </c>
      <c r="AV99" s="337">
        <v>0.27867026243951082</v>
      </c>
      <c r="AW99" s="322">
        <v>4</v>
      </c>
      <c r="AZ99" s="307">
        <f t="shared" si="11"/>
        <v>12</v>
      </c>
      <c r="BA99" s="307">
        <f t="shared" si="12"/>
        <v>13</v>
      </c>
      <c r="BB99" s="307">
        <f t="shared" si="13"/>
        <v>12</v>
      </c>
      <c r="BE99" t="s">
        <v>622</v>
      </c>
      <c r="BF99">
        <v>2018</v>
      </c>
      <c r="BG99">
        <f>BA34</f>
        <v>15</v>
      </c>
      <c r="BH99">
        <f t="shared" si="10"/>
        <v>1</v>
      </c>
    </row>
    <row r="100" spans="1:60" x14ac:dyDescent="0.2">
      <c r="A100" s="317" t="s">
        <v>297</v>
      </c>
      <c r="B100" s="318">
        <v>1.1004251566045922E-9</v>
      </c>
      <c r="C100" s="324">
        <v>5</v>
      </c>
      <c r="E100" s="311" t="s">
        <v>297</v>
      </c>
      <c r="F100" s="311">
        <v>1.5113350125944585</v>
      </c>
      <c r="G100" s="323">
        <v>4</v>
      </c>
      <c r="I100" s="308" t="s">
        <v>297</v>
      </c>
      <c r="J100" s="327">
        <v>0</v>
      </c>
      <c r="K100" s="321">
        <v>2</v>
      </c>
      <c r="M100" s="317" t="s">
        <v>297</v>
      </c>
      <c r="N100" s="336">
        <v>0.87576143195491685</v>
      </c>
      <c r="O100" s="319">
        <v>2</v>
      </c>
      <c r="R100" s="317" t="s">
        <v>297</v>
      </c>
      <c r="S100" s="318">
        <v>9.9531001438466149E-10</v>
      </c>
      <c r="T100" s="324">
        <v>5</v>
      </c>
      <c r="V100" s="316" t="s">
        <v>297</v>
      </c>
      <c r="W100" s="337">
        <v>0.73903002309468824</v>
      </c>
      <c r="X100" s="316">
        <v>3</v>
      </c>
      <c r="Z100" s="310" t="s">
        <v>297</v>
      </c>
      <c r="AA100" s="341">
        <v>0</v>
      </c>
      <c r="AB100" s="310">
        <v>2</v>
      </c>
      <c r="AD100" s="319" t="s">
        <v>297</v>
      </c>
      <c r="AE100" s="336">
        <v>0.85900324485808799</v>
      </c>
      <c r="AF100" s="324">
        <v>2</v>
      </c>
      <c r="AI100" s="319" t="s">
        <v>297</v>
      </c>
      <c r="AJ100" s="318">
        <v>9.3644614291663344E-10</v>
      </c>
      <c r="AK100" s="324">
        <v>5</v>
      </c>
      <c r="AM100" s="310" t="s">
        <v>297</v>
      </c>
      <c r="AN100" s="334">
        <v>0.46080760095011875</v>
      </c>
      <c r="AO100" s="321">
        <v>2</v>
      </c>
      <c r="AQ100" s="310" t="s">
        <v>297</v>
      </c>
      <c r="AR100" s="327">
        <v>0</v>
      </c>
      <c r="AS100" s="321">
        <v>2</v>
      </c>
      <c r="AU100" s="319" t="s">
        <v>297</v>
      </c>
      <c r="AV100" s="336">
        <v>0.83639049002725463</v>
      </c>
      <c r="AW100" s="357">
        <v>2</v>
      </c>
      <c r="AZ100" s="307">
        <f t="shared" si="11"/>
        <v>13</v>
      </c>
      <c r="BA100" s="307">
        <f t="shared" si="12"/>
        <v>12</v>
      </c>
      <c r="BB100" s="307">
        <f t="shared" si="13"/>
        <v>11</v>
      </c>
      <c r="BE100" t="s">
        <v>622</v>
      </c>
      <c r="BF100">
        <v>2019</v>
      </c>
      <c r="BG100">
        <f>BB34</f>
        <v>15</v>
      </c>
      <c r="BH100">
        <f t="shared" si="10"/>
        <v>1</v>
      </c>
    </row>
    <row r="101" spans="1:60" x14ac:dyDescent="0.2">
      <c r="A101" s="317" t="s">
        <v>387</v>
      </c>
      <c r="B101" s="318">
        <v>1.0717074394032706E-9</v>
      </c>
      <c r="C101" s="324">
        <v>5</v>
      </c>
      <c r="E101" s="314" t="s">
        <v>387</v>
      </c>
      <c r="F101" s="314">
        <v>0.69689336691855586</v>
      </c>
      <c r="G101" s="322">
        <v>3</v>
      </c>
      <c r="I101" s="308" t="s">
        <v>387</v>
      </c>
      <c r="J101" s="327">
        <v>0</v>
      </c>
      <c r="K101" s="321">
        <v>2</v>
      </c>
      <c r="M101" s="317" t="s">
        <v>387</v>
      </c>
      <c r="N101" s="336">
        <v>0.60361364697695286</v>
      </c>
      <c r="O101" s="319">
        <v>2</v>
      </c>
      <c r="R101" s="317" t="s">
        <v>387</v>
      </c>
      <c r="S101" s="318">
        <v>9.6160979461916084E-10</v>
      </c>
      <c r="T101" s="324">
        <v>5</v>
      </c>
      <c r="V101" s="316" t="s">
        <v>387</v>
      </c>
      <c r="W101" s="337">
        <v>0.64791288566243199</v>
      </c>
      <c r="X101" s="316">
        <v>3</v>
      </c>
      <c r="Z101" s="310" t="s">
        <v>387</v>
      </c>
      <c r="AA101" s="341">
        <v>0</v>
      </c>
      <c r="AB101" s="310">
        <v>2</v>
      </c>
      <c r="AD101" s="313" t="s">
        <v>387</v>
      </c>
      <c r="AE101" s="335">
        <v>0.53719552692538219</v>
      </c>
      <c r="AF101" s="323">
        <v>3</v>
      </c>
      <c r="AI101" s="352" t="s">
        <v>387</v>
      </c>
      <c r="AJ101" s="318">
        <v>8.7907469471911425E-10</v>
      </c>
      <c r="AK101" s="324">
        <v>5</v>
      </c>
      <c r="AM101" s="316" t="s">
        <v>387</v>
      </c>
      <c r="AN101" s="337">
        <v>0.54628999319264804</v>
      </c>
      <c r="AO101" s="322">
        <v>3</v>
      </c>
      <c r="AQ101" s="310" t="s">
        <v>387</v>
      </c>
      <c r="AR101" s="327">
        <v>0</v>
      </c>
      <c r="AS101" s="321">
        <v>2</v>
      </c>
      <c r="AU101" s="354" t="s">
        <v>387</v>
      </c>
      <c r="AV101" s="355">
        <v>0.56717430912957945</v>
      </c>
      <c r="AW101" s="356">
        <v>3</v>
      </c>
      <c r="AZ101" s="307">
        <f t="shared" si="11"/>
        <v>12</v>
      </c>
      <c r="BA101" s="307">
        <f t="shared" si="12"/>
        <v>13</v>
      </c>
      <c r="BB101" s="307">
        <f t="shared" si="13"/>
        <v>13</v>
      </c>
      <c r="BE101" t="s">
        <v>630</v>
      </c>
      <c r="BF101">
        <v>2017</v>
      </c>
      <c r="BG101">
        <f>AZ35</f>
        <v>16</v>
      </c>
      <c r="BH101">
        <f t="shared" si="10"/>
        <v>1</v>
      </c>
    </row>
    <row r="102" spans="1:60" x14ac:dyDescent="0.2">
      <c r="A102" s="314" t="s">
        <v>574</v>
      </c>
      <c r="B102" s="315">
        <v>3.6126226623802055E-10</v>
      </c>
      <c r="C102" s="322">
        <v>3</v>
      </c>
      <c r="E102" s="308" t="s">
        <v>574</v>
      </c>
      <c r="F102" s="308">
        <v>0.48818897637795278</v>
      </c>
      <c r="G102" s="321">
        <v>2</v>
      </c>
      <c r="I102" s="308" t="s">
        <v>574</v>
      </c>
      <c r="J102" s="327">
        <v>0</v>
      </c>
      <c r="K102" s="321">
        <v>2</v>
      </c>
      <c r="M102" s="317" t="s">
        <v>574</v>
      </c>
      <c r="N102" s="336">
        <v>0.60133548027899897</v>
      </c>
      <c r="O102" s="319">
        <v>2</v>
      </c>
      <c r="R102" s="308" t="s">
        <v>574</v>
      </c>
      <c r="S102" s="309">
        <v>7.8187659911204317E-11</v>
      </c>
      <c r="T102" s="321">
        <v>2</v>
      </c>
      <c r="V102" s="319" t="s">
        <v>574</v>
      </c>
      <c r="W102" s="336">
        <v>3.4894736842105263</v>
      </c>
      <c r="X102" s="319">
        <v>5</v>
      </c>
      <c r="Z102" s="310" t="s">
        <v>574</v>
      </c>
      <c r="AA102" s="341">
        <v>0</v>
      </c>
      <c r="AB102" s="310">
        <v>2</v>
      </c>
      <c r="AD102" s="316" t="s">
        <v>574</v>
      </c>
      <c r="AE102" s="337">
        <v>0.23578468992594448</v>
      </c>
      <c r="AF102" s="322">
        <v>4</v>
      </c>
      <c r="AI102" s="310" t="s">
        <v>574</v>
      </c>
      <c r="AJ102" s="309">
        <v>1.0081860133015421E-10</v>
      </c>
      <c r="AK102" s="321">
        <v>2</v>
      </c>
      <c r="AM102" s="313" t="s">
        <v>574</v>
      </c>
      <c r="AN102" s="335">
        <v>1.4486486486486487</v>
      </c>
      <c r="AO102" s="323">
        <v>4</v>
      </c>
      <c r="AQ102" s="310" t="s">
        <v>574</v>
      </c>
      <c r="AR102" s="327">
        <v>0</v>
      </c>
      <c r="AS102" s="321">
        <v>2</v>
      </c>
      <c r="AU102" s="354" t="s">
        <v>574</v>
      </c>
      <c r="AV102" s="355">
        <v>0.53226402161397224</v>
      </c>
      <c r="AW102" s="356">
        <v>3</v>
      </c>
      <c r="AZ102" s="307">
        <f t="shared" si="11"/>
        <v>9</v>
      </c>
      <c r="BA102" s="307">
        <f t="shared" si="12"/>
        <v>13</v>
      </c>
      <c r="BB102" s="307">
        <f t="shared" si="13"/>
        <v>11</v>
      </c>
      <c r="BE102" t="s">
        <v>630</v>
      </c>
      <c r="BF102">
        <v>2018</v>
      </c>
      <c r="BG102">
        <f>BA35</f>
        <v>16</v>
      </c>
      <c r="BH102">
        <f t="shared" si="10"/>
        <v>1</v>
      </c>
    </row>
    <row r="103" spans="1:60" x14ac:dyDescent="0.2">
      <c r="A103" s="311" t="s">
        <v>691</v>
      </c>
      <c r="B103" s="312">
        <v>5.4096714840324091E-10</v>
      </c>
      <c r="C103" s="323">
        <v>4</v>
      </c>
      <c r="E103" s="311" t="s">
        <v>691</v>
      </c>
      <c r="F103" s="311">
        <v>2.5849056603773586</v>
      </c>
      <c r="G103" s="323">
        <v>4</v>
      </c>
      <c r="I103" s="311" t="s">
        <v>691</v>
      </c>
      <c r="J103" s="329">
        <v>4.674237052356066E-3</v>
      </c>
      <c r="K103" s="323">
        <v>4</v>
      </c>
      <c r="M103" s="308" t="s">
        <v>691</v>
      </c>
      <c r="N103" s="334">
        <v>7.2004727186194384E-2</v>
      </c>
      <c r="O103" s="310">
        <v>5</v>
      </c>
      <c r="R103" s="314" t="s">
        <v>691</v>
      </c>
      <c r="S103" s="315">
        <v>4.3880038310818307E-10</v>
      </c>
      <c r="T103" s="322">
        <v>3</v>
      </c>
      <c r="V103" s="313" t="s">
        <v>691</v>
      </c>
      <c r="W103" s="335">
        <v>1.9558359621451105</v>
      </c>
      <c r="X103" s="313">
        <v>4</v>
      </c>
      <c r="Z103" s="313" t="s">
        <v>691</v>
      </c>
      <c r="AA103" s="340">
        <v>4.8471976279397524E-3</v>
      </c>
      <c r="AB103" s="313">
        <v>4</v>
      </c>
      <c r="AD103" s="310" t="s">
        <v>691</v>
      </c>
      <c r="AE103" s="334">
        <v>6.9262608580881332E-2</v>
      </c>
      <c r="AF103" s="321">
        <v>5</v>
      </c>
      <c r="AI103" s="316" t="s">
        <v>691</v>
      </c>
      <c r="AJ103" s="315">
        <v>4.0280470972701767E-10</v>
      </c>
      <c r="AK103" s="322">
        <v>3</v>
      </c>
      <c r="AM103" s="313" t="s">
        <v>691</v>
      </c>
      <c r="AN103" s="335">
        <v>1.52</v>
      </c>
      <c r="AO103" s="323">
        <v>4</v>
      </c>
      <c r="AQ103" s="313" t="s">
        <v>691</v>
      </c>
      <c r="AR103" s="329">
        <v>6.0944129032720644E-3</v>
      </c>
      <c r="AS103" s="323">
        <v>4</v>
      </c>
      <c r="AU103" s="310" t="s">
        <v>691</v>
      </c>
      <c r="AV103" s="334">
        <v>7.9548875559945387E-2</v>
      </c>
      <c r="AW103" s="321">
        <v>5</v>
      </c>
      <c r="AZ103" s="307">
        <f t="shared" si="11"/>
        <v>17</v>
      </c>
      <c r="BA103" s="307">
        <f t="shared" si="12"/>
        <v>16</v>
      </c>
      <c r="BB103" s="307">
        <f t="shared" si="13"/>
        <v>16</v>
      </c>
      <c r="BE103" t="s">
        <v>630</v>
      </c>
      <c r="BF103">
        <v>2019</v>
      </c>
      <c r="BG103">
        <f>BB35</f>
        <v>16</v>
      </c>
      <c r="BH103">
        <f t="shared" si="10"/>
        <v>1</v>
      </c>
    </row>
    <row r="104" spans="1:60" x14ac:dyDescent="0.2">
      <c r="A104" s="317" t="s">
        <v>578</v>
      </c>
      <c r="B104" s="318">
        <v>1.3615072500008461E-9</v>
      </c>
      <c r="C104" s="324">
        <v>5</v>
      </c>
      <c r="E104" s="308" t="s">
        <v>578</v>
      </c>
      <c r="F104" s="308">
        <v>0.22388059701492538</v>
      </c>
      <c r="G104" s="321">
        <v>2</v>
      </c>
      <c r="I104" s="317" t="s">
        <v>578</v>
      </c>
      <c r="J104" s="330">
        <v>1.4115107966648117E-2</v>
      </c>
      <c r="K104" s="324">
        <v>5</v>
      </c>
      <c r="M104" s="314" t="s">
        <v>578</v>
      </c>
      <c r="N104" s="337">
        <v>0.23511774975692715</v>
      </c>
      <c r="O104" s="316">
        <v>4</v>
      </c>
      <c r="R104" s="317" t="s">
        <v>578</v>
      </c>
      <c r="S104" s="318">
        <v>1.0290016284622595E-9</v>
      </c>
      <c r="T104" s="324">
        <v>5</v>
      </c>
      <c r="V104" s="310" t="s">
        <v>578</v>
      </c>
      <c r="W104" s="334">
        <v>0.23665223665223664</v>
      </c>
      <c r="X104" s="310">
        <v>2</v>
      </c>
      <c r="Z104" s="319" t="s">
        <v>578</v>
      </c>
      <c r="AA104" s="343">
        <v>1.2864861135703983E-2</v>
      </c>
      <c r="AB104" s="319">
        <v>5</v>
      </c>
      <c r="AD104" s="316" t="s">
        <v>578</v>
      </c>
      <c r="AE104" s="337">
        <v>0.20406052301760677</v>
      </c>
      <c r="AF104" s="322">
        <v>4</v>
      </c>
      <c r="AI104" s="319" t="s">
        <v>578</v>
      </c>
      <c r="AJ104" s="318">
        <v>1.0058921908007625E-9</v>
      </c>
      <c r="AK104" s="324">
        <v>5</v>
      </c>
      <c r="AM104" s="310" t="s">
        <v>578</v>
      </c>
      <c r="AN104" s="334">
        <v>0.20926966292134833</v>
      </c>
      <c r="AO104" s="321">
        <v>2</v>
      </c>
      <c r="AQ104" s="319" t="s">
        <v>578</v>
      </c>
      <c r="AR104" s="330">
        <v>1.4592558016632571E-2</v>
      </c>
      <c r="AS104" s="324">
        <v>5</v>
      </c>
      <c r="AU104" s="316" t="s">
        <v>578</v>
      </c>
      <c r="AV104" s="337">
        <v>0.18026673944642699</v>
      </c>
      <c r="AW104" s="322">
        <v>4</v>
      </c>
      <c r="AZ104" s="307">
        <f t="shared" si="11"/>
        <v>16</v>
      </c>
      <c r="BA104" s="307">
        <f t="shared" si="12"/>
        <v>16</v>
      </c>
      <c r="BB104" s="307">
        <f t="shared" si="13"/>
        <v>16</v>
      </c>
      <c r="BE104" t="s">
        <v>633</v>
      </c>
      <c r="BF104">
        <v>2017</v>
      </c>
      <c r="BG104">
        <f>AZ36</f>
        <v>15</v>
      </c>
      <c r="BH104">
        <f t="shared" si="10"/>
        <v>1</v>
      </c>
    </row>
    <row r="105" spans="1:60" x14ac:dyDescent="0.2">
      <c r="A105" s="314" t="s">
        <v>205</v>
      </c>
      <c r="B105" s="315">
        <v>2.6886988267361406E-10</v>
      </c>
      <c r="C105" s="322">
        <v>3</v>
      </c>
      <c r="E105" s="311" t="s">
        <v>205</v>
      </c>
      <c r="F105" s="311">
        <v>1.5510204081632653</v>
      </c>
      <c r="G105" s="323">
        <v>4</v>
      </c>
      <c r="I105" s="317" t="s">
        <v>205</v>
      </c>
      <c r="J105" s="330">
        <v>4.1465688856288631E-2</v>
      </c>
      <c r="K105" s="324">
        <v>5</v>
      </c>
      <c r="M105" s="311" t="s">
        <v>205</v>
      </c>
      <c r="N105" s="335">
        <v>0.3541697228222504</v>
      </c>
      <c r="O105" s="313">
        <v>3</v>
      </c>
      <c r="R105" s="314" t="s">
        <v>205</v>
      </c>
      <c r="S105" s="315">
        <v>2.1662124949088988E-10</v>
      </c>
      <c r="T105" s="322">
        <v>3</v>
      </c>
      <c r="V105" s="313" t="s">
        <v>205</v>
      </c>
      <c r="W105" s="335">
        <v>1.3624454148471616</v>
      </c>
      <c r="X105" s="313">
        <v>4</v>
      </c>
      <c r="Z105" s="319" t="s">
        <v>205</v>
      </c>
      <c r="AA105" s="343">
        <v>5.0179589461451478E-2</v>
      </c>
      <c r="AB105" s="319">
        <v>5</v>
      </c>
      <c r="AD105" s="313" t="s">
        <v>205</v>
      </c>
      <c r="AE105" s="335">
        <v>0.35058582599290883</v>
      </c>
      <c r="AF105" s="323">
        <v>3</v>
      </c>
      <c r="AI105" s="310" t="s">
        <v>205</v>
      </c>
      <c r="AJ105" s="309">
        <v>1.8186007870812051E-10</v>
      </c>
      <c r="AK105" s="321">
        <v>2</v>
      </c>
      <c r="AM105" s="313" t="s">
        <v>205</v>
      </c>
      <c r="AN105" s="335">
        <v>1.4347826086956521</v>
      </c>
      <c r="AO105" s="323">
        <v>4</v>
      </c>
      <c r="AQ105" s="319" t="s">
        <v>205</v>
      </c>
      <c r="AR105" s="330">
        <v>5.484946050816477E-2</v>
      </c>
      <c r="AS105" s="324">
        <v>5</v>
      </c>
      <c r="AU105" s="354" t="s">
        <v>205</v>
      </c>
      <c r="AV105" s="355">
        <v>0.30628952496804474</v>
      </c>
      <c r="AW105" s="356">
        <v>3</v>
      </c>
      <c r="AZ105" s="307">
        <f t="shared" si="11"/>
        <v>15</v>
      </c>
      <c r="BA105" s="307">
        <f t="shared" si="12"/>
        <v>15</v>
      </c>
      <c r="BB105" s="307">
        <f t="shared" si="13"/>
        <v>14</v>
      </c>
      <c r="BE105" t="s">
        <v>633</v>
      </c>
      <c r="BF105">
        <v>2018</v>
      </c>
      <c r="BG105">
        <f>BA36</f>
        <v>16</v>
      </c>
      <c r="BH105">
        <f t="shared" si="10"/>
        <v>1</v>
      </c>
    </row>
    <row r="106" spans="1:60" x14ac:dyDescent="0.2">
      <c r="A106" s="317" t="s">
        <v>208</v>
      </c>
      <c r="B106" s="318">
        <v>1.1597285503428772E-9</v>
      </c>
      <c r="C106" s="324">
        <v>5</v>
      </c>
      <c r="E106" s="317" t="s">
        <v>208</v>
      </c>
      <c r="F106" s="317">
        <v>2.802197802197802</v>
      </c>
      <c r="G106" s="324">
        <v>5</v>
      </c>
      <c r="I106" s="317" t="s">
        <v>208</v>
      </c>
      <c r="J106" s="330">
        <v>6.0874807868539799E-2</v>
      </c>
      <c r="K106" s="324">
        <v>5</v>
      </c>
      <c r="M106" s="311" t="s">
        <v>208</v>
      </c>
      <c r="N106" s="335">
        <v>0.4372477431170948</v>
      </c>
      <c r="O106" s="313">
        <v>3</v>
      </c>
      <c r="R106" s="317" t="s">
        <v>208</v>
      </c>
      <c r="S106" s="318">
        <v>1.2239088607840368E-9</v>
      </c>
      <c r="T106" s="324">
        <v>5</v>
      </c>
      <c r="V106" s="319" t="s">
        <v>208</v>
      </c>
      <c r="W106" s="336">
        <v>2.5477707006369426</v>
      </c>
      <c r="X106" s="319">
        <v>5</v>
      </c>
      <c r="Z106" s="319" t="s">
        <v>208</v>
      </c>
      <c r="AA106" s="343">
        <v>7.4858768174782389E-2</v>
      </c>
      <c r="AB106" s="319">
        <v>5</v>
      </c>
      <c r="AD106" s="313" t="s">
        <v>208</v>
      </c>
      <c r="AE106" s="335">
        <v>0.50574169576531203</v>
      </c>
      <c r="AF106" s="323">
        <v>3</v>
      </c>
      <c r="AI106" s="319" t="s">
        <v>208</v>
      </c>
      <c r="AJ106" s="318">
        <v>1.076109076125437E-9</v>
      </c>
      <c r="AK106" s="324">
        <v>5</v>
      </c>
      <c r="AM106" s="319" t="s">
        <v>208</v>
      </c>
      <c r="AN106" s="336">
        <v>2.6052104208416833</v>
      </c>
      <c r="AO106" s="324">
        <v>5</v>
      </c>
      <c r="AQ106" s="319" t="s">
        <v>208</v>
      </c>
      <c r="AR106" s="330">
        <v>8.193536042530411E-2</v>
      </c>
      <c r="AS106" s="324">
        <v>5</v>
      </c>
      <c r="AU106" s="354" t="s">
        <v>208</v>
      </c>
      <c r="AV106" s="355">
        <v>0.54258188422479792</v>
      </c>
      <c r="AW106" s="356">
        <v>3</v>
      </c>
      <c r="AZ106" s="307">
        <f t="shared" si="11"/>
        <v>18</v>
      </c>
      <c r="BA106" s="307">
        <f t="shared" si="12"/>
        <v>18</v>
      </c>
      <c r="BB106" s="307">
        <f t="shared" si="13"/>
        <v>18</v>
      </c>
      <c r="BE106" t="s">
        <v>633</v>
      </c>
      <c r="BF106">
        <v>2019</v>
      </c>
      <c r="BG106">
        <f>BB36</f>
        <v>16</v>
      </c>
      <c r="BH106">
        <f t="shared" si="10"/>
        <v>1</v>
      </c>
    </row>
    <row r="107" spans="1:60" x14ac:dyDescent="0.2">
      <c r="A107" s="311" t="s">
        <v>841</v>
      </c>
      <c r="B107" s="312">
        <v>6.2103593266554095E-10</v>
      </c>
      <c r="C107" s="323">
        <v>4</v>
      </c>
      <c r="E107" s="317" t="s">
        <v>841</v>
      </c>
      <c r="F107" s="317">
        <v>8.3221476510067109</v>
      </c>
      <c r="G107" s="324">
        <v>5</v>
      </c>
      <c r="I107" s="311" t="s">
        <v>841</v>
      </c>
      <c r="J107" s="329">
        <v>3.6539163260447169E-3</v>
      </c>
      <c r="K107" s="323">
        <v>4</v>
      </c>
      <c r="M107" s="314" t="s">
        <v>841</v>
      </c>
      <c r="N107" s="337">
        <v>0.19111999041121386</v>
      </c>
      <c r="O107" s="316">
        <v>4</v>
      </c>
      <c r="R107" s="311" t="s">
        <v>841</v>
      </c>
      <c r="S107" s="312">
        <v>6.3997180955447898E-10</v>
      </c>
      <c r="T107" s="323">
        <v>4</v>
      </c>
      <c r="V107" s="319" t="s">
        <v>841</v>
      </c>
      <c r="W107" s="336">
        <v>5.4202898550724639</v>
      </c>
      <c r="X107" s="319">
        <v>5</v>
      </c>
      <c r="Z107" s="313" t="s">
        <v>841</v>
      </c>
      <c r="AA107" s="340">
        <v>7.238404847390952E-3</v>
      </c>
      <c r="AB107" s="313">
        <v>4</v>
      </c>
      <c r="AD107" s="310" t="s">
        <v>841</v>
      </c>
      <c r="AE107" s="334">
        <v>0.16258986659737151</v>
      </c>
      <c r="AF107" s="321">
        <v>5</v>
      </c>
      <c r="AI107" s="313" t="s">
        <v>841</v>
      </c>
      <c r="AJ107" s="312">
        <v>6.3892239589865183E-10</v>
      </c>
      <c r="AK107" s="323">
        <v>4</v>
      </c>
      <c r="AM107" s="319" t="s">
        <v>841</v>
      </c>
      <c r="AN107" s="336">
        <v>3.5969387755102042</v>
      </c>
      <c r="AO107" s="324">
        <v>5</v>
      </c>
      <c r="AQ107" s="313" t="s">
        <v>841</v>
      </c>
      <c r="AR107" s="329">
        <v>8.8346971661744256E-3</v>
      </c>
      <c r="AS107" s="323">
        <v>4</v>
      </c>
      <c r="AU107" s="316" t="s">
        <v>841</v>
      </c>
      <c r="AV107" s="337">
        <v>0.22358054963679017</v>
      </c>
      <c r="AW107" s="322">
        <v>4</v>
      </c>
      <c r="AZ107" s="307">
        <f t="shared" si="11"/>
        <v>17</v>
      </c>
      <c r="BA107" s="307">
        <f t="shared" si="12"/>
        <v>18</v>
      </c>
      <c r="BB107" s="307">
        <f t="shared" si="13"/>
        <v>17</v>
      </c>
      <c r="BE107" t="s">
        <v>74</v>
      </c>
      <c r="BF107">
        <v>2017</v>
      </c>
      <c r="BG107">
        <f>AZ37</f>
        <v>15</v>
      </c>
      <c r="BH107">
        <f t="shared" si="10"/>
        <v>1</v>
      </c>
    </row>
    <row r="108" spans="1:60" x14ac:dyDescent="0.2">
      <c r="A108" s="311" t="s">
        <v>843</v>
      </c>
      <c r="B108" s="312">
        <v>4.8890837143465026E-10</v>
      </c>
      <c r="C108" s="323">
        <v>4</v>
      </c>
      <c r="E108" s="308" t="s">
        <v>843</v>
      </c>
      <c r="F108" s="308">
        <v>0.66265060240963858</v>
      </c>
      <c r="G108" s="321">
        <v>2</v>
      </c>
      <c r="I108" s="311" t="s">
        <v>843</v>
      </c>
      <c r="J108" s="329">
        <v>2.8227340162387238E-3</v>
      </c>
      <c r="K108" s="323">
        <v>4</v>
      </c>
      <c r="M108" s="308" t="s">
        <v>843</v>
      </c>
      <c r="N108" s="334">
        <v>1.939989250619855E-2</v>
      </c>
      <c r="O108" s="310">
        <v>5</v>
      </c>
      <c r="R108" s="311" t="s">
        <v>843</v>
      </c>
      <c r="S108" s="312">
        <v>4.5577302711446819E-10</v>
      </c>
      <c r="T108" s="323">
        <v>4</v>
      </c>
      <c r="V108" s="310" t="s">
        <v>843</v>
      </c>
      <c r="W108" s="334">
        <v>0.52197802197802201</v>
      </c>
      <c r="X108" s="310">
        <v>2</v>
      </c>
      <c r="Z108" s="313" t="s">
        <v>843</v>
      </c>
      <c r="AA108" s="340">
        <v>2.3775307483373622E-3</v>
      </c>
      <c r="AB108" s="313">
        <v>4</v>
      </c>
      <c r="AD108" s="310" t="s">
        <v>843</v>
      </c>
      <c r="AE108" s="334">
        <v>1.6678767309096731E-2</v>
      </c>
      <c r="AF108" s="321">
        <v>5</v>
      </c>
      <c r="AI108" s="316" t="s">
        <v>843</v>
      </c>
      <c r="AJ108" s="315">
        <v>4.0047596297048943E-10</v>
      </c>
      <c r="AK108" s="322">
        <v>3</v>
      </c>
      <c r="AM108" s="316" t="s">
        <v>843</v>
      </c>
      <c r="AN108" s="337">
        <v>0.51630434782608692</v>
      </c>
      <c r="AO108" s="322">
        <v>3</v>
      </c>
      <c r="AQ108" s="313" t="s">
        <v>843</v>
      </c>
      <c r="AR108" s="329">
        <v>3.1641940741490809E-3</v>
      </c>
      <c r="AS108" s="323">
        <v>4</v>
      </c>
      <c r="AU108" s="310" t="s">
        <v>843</v>
      </c>
      <c r="AV108" s="334">
        <v>2.0166299753708761E-2</v>
      </c>
      <c r="AW108" s="321">
        <v>5</v>
      </c>
      <c r="AZ108" s="307">
        <f t="shared" si="11"/>
        <v>15</v>
      </c>
      <c r="BA108" s="307">
        <f t="shared" si="12"/>
        <v>15</v>
      </c>
      <c r="BB108" s="307">
        <f t="shared" si="13"/>
        <v>15</v>
      </c>
      <c r="BE108" t="s">
        <v>74</v>
      </c>
      <c r="BF108">
        <v>2018</v>
      </c>
      <c r="BG108">
        <f>BA37</f>
        <v>15</v>
      </c>
      <c r="BH108">
        <f t="shared" si="10"/>
        <v>1</v>
      </c>
    </row>
    <row r="109" spans="1:60" x14ac:dyDescent="0.2">
      <c r="A109" s="314" t="s">
        <v>491</v>
      </c>
      <c r="B109" s="315">
        <v>3.5852881292083376E-10</v>
      </c>
      <c r="C109" s="322">
        <v>3</v>
      </c>
      <c r="E109" s="311" t="s">
        <v>491</v>
      </c>
      <c r="F109" s="311">
        <v>1.929448450594426</v>
      </c>
      <c r="G109" s="323">
        <v>4</v>
      </c>
      <c r="I109" s="311" t="s">
        <v>491</v>
      </c>
      <c r="J109" s="329">
        <v>9.1000442228104939E-3</v>
      </c>
      <c r="K109" s="323">
        <v>4</v>
      </c>
      <c r="M109" s="317" t="s">
        <v>491</v>
      </c>
      <c r="N109" s="336">
        <v>0.66423575985942052</v>
      </c>
      <c r="O109" s="319">
        <v>2</v>
      </c>
      <c r="R109" s="314" t="s">
        <v>491</v>
      </c>
      <c r="S109" s="315">
        <v>3.107441416289419E-10</v>
      </c>
      <c r="T109" s="322">
        <v>3</v>
      </c>
      <c r="V109" s="313" t="s">
        <v>491</v>
      </c>
      <c r="W109" s="335">
        <v>2.0837108171770247</v>
      </c>
      <c r="X109" s="313">
        <v>4</v>
      </c>
      <c r="Z109" s="313" t="s">
        <v>491</v>
      </c>
      <c r="AA109" s="340">
        <v>5.0080771969783517E-3</v>
      </c>
      <c r="AB109" s="313">
        <v>4</v>
      </c>
      <c r="AD109" s="319" t="s">
        <v>491</v>
      </c>
      <c r="AE109" s="336">
        <v>0.63783976460541503</v>
      </c>
      <c r="AF109" s="324">
        <v>2</v>
      </c>
      <c r="AI109" s="316" t="s">
        <v>491</v>
      </c>
      <c r="AJ109" s="315">
        <v>2.8532425362427822E-10</v>
      </c>
      <c r="AK109" s="322">
        <v>3</v>
      </c>
      <c r="AM109" s="313" t="s">
        <v>491</v>
      </c>
      <c r="AN109" s="335">
        <v>2.1004726063364259</v>
      </c>
      <c r="AO109" s="323">
        <v>4</v>
      </c>
      <c r="AQ109" s="313" t="s">
        <v>491</v>
      </c>
      <c r="AR109" s="329">
        <v>4.7325231277255582E-3</v>
      </c>
      <c r="AS109" s="323">
        <v>4</v>
      </c>
      <c r="AU109" s="319" t="s">
        <v>491</v>
      </c>
      <c r="AV109" s="336">
        <v>0.7092317025007322</v>
      </c>
      <c r="AW109" s="357">
        <v>2</v>
      </c>
      <c r="AZ109" s="307">
        <f t="shared" si="11"/>
        <v>13</v>
      </c>
      <c r="BA109" s="307">
        <f t="shared" si="12"/>
        <v>13</v>
      </c>
      <c r="BB109" s="307">
        <f t="shared" si="13"/>
        <v>13</v>
      </c>
      <c r="BE109" t="s">
        <v>74</v>
      </c>
      <c r="BF109">
        <v>2019</v>
      </c>
      <c r="BG109">
        <f>BB37</f>
        <v>15</v>
      </c>
      <c r="BH109">
        <f t="shared" si="10"/>
        <v>1</v>
      </c>
    </row>
    <row r="110" spans="1:60" x14ac:dyDescent="0.2">
      <c r="A110" s="317" t="s">
        <v>112</v>
      </c>
      <c r="B110" s="318">
        <v>2.2837105008513061E-9</v>
      </c>
      <c r="C110" s="324">
        <v>5</v>
      </c>
      <c r="E110" s="311" t="s">
        <v>112</v>
      </c>
      <c r="F110" s="311">
        <v>1.2128362435110902</v>
      </c>
      <c r="G110" s="323">
        <v>4</v>
      </c>
      <c r="I110" s="308" t="s">
        <v>112</v>
      </c>
      <c r="J110" s="327">
        <v>0</v>
      </c>
      <c r="K110" s="321">
        <v>2</v>
      </c>
      <c r="M110" s="314" t="s">
        <v>112</v>
      </c>
      <c r="N110" s="337">
        <v>0.23520405348222215</v>
      </c>
      <c r="O110" s="316">
        <v>4</v>
      </c>
      <c r="R110" s="317" t="s">
        <v>112</v>
      </c>
      <c r="S110" s="318">
        <v>2.6633975310947819E-9</v>
      </c>
      <c r="T110" s="324">
        <v>5</v>
      </c>
      <c r="V110" s="316" t="s">
        <v>112</v>
      </c>
      <c r="W110" s="337">
        <v>1.1121539183481934</v>
      </c>
      <c r="X110" s="316">
        <v>3</v>
      </c>
      <c r="Z110" s="310" t="s">
        <v>112</v>
      </c>
      <c r="AA110" s="341">
        <v>0</v>
      </c>
      <c r="AB110" s="310">
        <v>2</v>
      </c>
      <c r="AD110" s="316" t="s">
        <v>112</v>
      </c>
      <c r="AE110" s="337">
        <v>0.23525061050411991</v>
      </c>
      <c r="AF110" s="322">
        <v>4</v>
      </c>
      <c r="AI110" s="319" t="s">
        <v>112</v>
      </c>
      <c r="AJ110" s="318">
        <v>2.6314764212463857E-9</v>
      </c>
      <c r="AK110" s="324">
        <v>5</v>
      </c>
      <c r="AM110" s="316" t="s">
        <v>112</v>
      </c>
      <c r="AN110" s="337">
        <v>1.0832954028220301</v>
      </c>
      <c r="AO110" s="322">
        <v>3</v>
      </c>
      <c r="AQ110" s="310" t="s">
        <v>112</v>
      </c>
      <c r="AR110" s="327">
        <v>0</v>
      </c>
      <c r="AS110" s="321">
        <v>2</v>
      </c>
      <c r="AU110" s="316" t="s">
        <v>112</v>
      </c>
      <c r="AV110" s="337">
        <v>0.22943599988739469</v>
      </c>
      <c r="AW110" s="322">
        <v>4</v>
      </c>
      <c r="AZ110" s="307">
        <f t="shared" si="11"/>
        <v>15</v>
      </c>
      <c r="BA110" s="307">
        <f t="shared" si="12"/>
        <v>14</v>
      </c>
      <c r="BB110" s="307">
        <f t="shared" si="13"/>
        <v>14</v>
      </c>
      <c r="BE110" t="s">
        <v>354</v>
      </c>
      <c r="BF110">
        <v>2017</v>
      </c>
      <c r="BG110">
        <f>AZ38</f>
        <v>11</v>
      </c>
      <c r="BH110">
        <f t="shared" si="10"/>
        <v>0</v>
      </c>
    </row>
    <row r="111" spans="1:60" x14ac:dyDescent="0.2">
      <c r="A111" s="317" t="s">
        <v>210</v>
      </c>
      <c r="B111" s="318">
        <v>1.8097473036396979E-9</v>
      </c>
      <c r="C111" s="324">
        <v>5</v>
      </c>
      <c r="E111" s="317" t="s">
        <v>210</v>
      </c>
      <c r="F111" s="317">
        <v>2.84375</v>
      </c>
      <c r="G111" s="324">
        <v>5</v>
      </c>
      <c r="I111" s="317" t="s">
        <v>210</v>
      </c>
      <c r="J111" s="330">
        <v>9.5052917042240392E-2</v>
      </c>
      <c r="K111" s="324">
        <v>5</v>
      </c>
      <c r="M111" s="311" t="s">
        <v>210</v>
      </c>
      <c r="N111" s="335">
        <v>0.3847687827045676</v>
      </c>
      <c r="O111" s="313">
        <v>3</v>
      </c>
      <c r="R111" s="317" t="s">
        <v>210</v>
      </c>
      <c r="S111" s="318">
        <v>9.9699923135159084E-10</v>
      </c>
      <c r="T111" s="324">
        <v>5</v>
      </c>
      <c r="V111" s="319" t="s">
        <v>210</v>
      </c>
      <c r="W111" s="336">
        <v>4.375</v>
      </c>
      <c r="X111" s="319">
        <v>5</v>
      </c>
      <c r="Z111" s="319" t="s">
        <v>210</v>
      </c>
      <c r="AA111" s="343">
        <v>0.10787386928344887</v>
      </c>
      <c r="AB111" s="319">
        <v>5</v>
      </c>
      <c r="AD111" s="313" t="s">
        <v>210</v>
      </c>
      <c r="AE111" s="335">
        <v>0.46540896708680535</v>
      </c>
      <c r="AF111" s="323">
        <v>3</v>
      </c>
      <c r="AI111" s="319" t="s">
        <v>210</v>
      </c>
      <c r="AJ111" s="318">
        <v>1.0314810359407895E-9</v>
      </c>
      <c r="AK111" s="324">
        <v>5</v>
      </c>
      <c r="AM111" s="319" t="s">
        <v>210</v>
      </c>
      <c r="AN111" s="336">
        <v>6.2549019607843137</v>
      </c>
      <c r="AO111" s="324">
        <v>5</v>
      </c>
      <c r="AQ111" s="319" t="s">
        <v>210</v>
      </c>
      <c r="AR111" s="330">
        <v>0.11641945678374824</v>
      </c>
      <c r="AS111" s="324">
        <v>5</v>
      </c>
      <c r="AU111" s="354" t="s">
        <v>210</v>
      </c>
      <c r="AV111" s="355">
        <v>0.45041134915397618</v>
      </c>
      <c r="AW111" s="356">
        <v>3</v>
      </c>
      <c r="AZ111" s="307">
        <f t="shared" si="11"/>
        <v>18</v>
      </c>
      <c r="BA111" s="307">
        <f t="shared" si="12"/>
        <v>18</v>
      </c>
      <c r="BB111" s="307">
        <f t="shared" si="13"/>
        <v>18</v>
      </c>
      <c r="BE111" t="s">
        <v>354</v>
      </c>
      <c r="BF111">
        <v>2018</v>
      </c>
      <c r="BG111">
        <f>BA38</f>
        <v>11</v>
      </c>
      <c r="BH111">
        <f t="shared" si="10"/>
        <v>0</v>
      </c>
    </row>
    <row r="112" spans="1:60" x14ac:dyDescent="0.2">
      <c r="A112" s="317" t="s">
        <v>845</v>
      </c>
      <c r="B112" s="318">
        <v>1.410224271315727E-9</v>
      </c>
      <c r="C112" s="324">
        <v>5</v>
      </c>
      <c r="E112" s="311" t="s">
        <v>845</v>
      </c>
      <c r="F112" s="311">
        <v>2.4658768993046611</v>
      </c>
      <c r="G112" s="323">
        <v>4</v>
      </c>
      <c r="I112" s="311" t="s">
        <v>845</v>
      </c>
      <c r="J112" s="329">
        <v>8.884908804813128E-3</v>
      </c>
      <c r="K112" s="323">
        <v>4</v>
      </c>
      <c r="M112" s="311" t="s">
        <v>845</v>
      </c>
      <c r="N112" s="335">
        <v>0.34637772127049754</v>
      </c>
      <c r="O112" s="313">
        <v>3</v>
      </c>
      <c r="R112" s="317" t="s">
        <v>845</v>
      </c>
      <c r="S112" s="318">
        <v>1.4845799837375202E-9</v>
      </c>
      <c r="T112" s="324">
        <v>5</v>
      </c>
      <c r="V112" s="316" t="s">
        <v>845</v>
      </c>
      <c r="W112" s="337">
        <v>0.92406692406692403</v>
      </c>
      <c r="X112" s="316">
        <v>3</v>
      </c>
      <c r="Z112" s="313" t="s">
        <v>845</v>
      </c>
      <c r="AA112" s="340">
        <v>8.2071873454435725E-3</v>
      </c>
      <c r="AB112" s="313">
        <v>4</v>
      </c>
      <c r="AD112" s="313" t="s">
        <v>845</v>
      </c>
      <c r="AE112" s="335">
        <v>0.53023063721597896</v>
      </c>
      <c r="AF112" s="323">
        <v>3</v>
      </c>
      <c r="AI112" s="319" t="s">
        <v>845</v>
      </c>
      <c r="AJ112" s="318">
        <v>1.4008426144559377E-9</v>
      </c>
      <c r="AK112" s="324">
        <v>5</v>
      </c>
      <c r="AM112" s="313" t="s">
        <v>845</v>
      </c>
      <c r="AN112" s="335">
        <v>1.8875611080934276</v>
      </c>
      <c r="AO112" s="323">
        <v>4</v>
      </c>
      <c r="AQ112" s="313" t="s">
        <v>845</v>
      </c>
      <c r="AR112" s="329">
        <v>7.1679368200174443E-3</v>
      </c>
      <c r="AS112" s="323">
        <v>4</v>
      </c>
      <c r="AU112" s="354" t="s">
        <v>845</v>
      </c>
      <c r="AV112" s="355">
        <v>0.53868682946639412</v>
      </c>
      <c r="AW112" s="356">
        <v>3</v>
      </c>
      <c r="AZ112" s="307">
        <f t="shared" si="11"/>
        <v>16</v>
      </c>
      <c r="BA112" s="307">
        <f t="shared" si="12"/>
        <v>15</v>
      </c>
      <c r="BB112" s="307">
        <f t="shared" si="13"/>
        <v>16</v>
      </c>
      <c r="BE112" t="s">
        <v>354</v>
      </c>
      <c r="BF112">
        <v>2019</v>
      </c>
      <c r="BG112">
        <f>BB38</f>
        <v>11</v>
      </c>
      <c r="BH112">
        <f t="shared" si="10"/>
        <v>0</v>
      </c>
    </row>
    <row r="113" spans="1:60" x14ac:dyDescent="0.2">
      <c r="A113" s="317" t="s">
        <v>115</v>
      </c>
      <c r="B113" s="318">
        <v>2.3640508084845257E-9</v>
      </c>
      <c r="C113" s="324">
        <v>5</v>
      </c>
      <c r="E113" s="308" t="s">
        <v>115</v>
      </c>
      <c r="F113" s="308">
        <v>0.40382941688424717</v>
      </c>
      <c r="G113" s="321">
        <v>2</v>
      </c>
      <c r="I113" s="317" t="s">
        <v>115</v>
      </c>
      <c r="J113" s="330">
        <v>1.3995193423143043E-2</v>
      </c>
      <c r="K113" s="324">
        <v>5</v>
      </c>
      <c r="M113" s="314" t="s">
        <v>115</v>
      </c>
      <c r="N113" s="337">
        <v>0.307248844129275</v>
      </c>
      <c r="O113" s="316">
        <v>4</v>
      </c>
      <c r="R113" s="317" t="s">
        <v>115</v>
      </c>
      <c r="S113" s="318">
        <v>2.7220125965098208E-9</v>
      </c>
      <c r="T113" s="324">
        <v>5</v>
      </c>
      <c r="V113" s="310" t="s">
        <v>115</v>
      </c>
      <c r="W113" s="334">
        <v>0.39792387543252594</v>
      </c>
      <c r="X113" s="310">
        <v>2</v>
      </c>
      <c r="Z113" s="313" t="s">
        <v>115</v>
      </c>
      <c r="AA113" s="340">
        <v>7.8291113806016593E-3</v>
      </c>
      <c r="AB113" s="313">
        <v>4</v>
      </c>
      <c r="AD113" s="319" t="s">
        <v>115</v>
      </c>
      <c r="AE113" s="336">
        <v>0.5788275287968162</v>
      </c>
      <c r="AF113" s="324">
        <v>2</v>
      </c>
      <c r="AI113" s="319" t="s">
        <v>115</v>
      </c>
      <c r="AJ113" s="318">
        <v>2.7298857732102561E-9</v>
      </c>
      <c r="AK113" s="324">
        <v>5</v>
      </c>
      <c r="AM113" s="310" t="s">
        <v>115</v>
      </c>
      <c r="AN113" s="334">
        <v>0.38434163701067614</v>
      </c>
      <c r="AO113" s="321">
        <v>2</v>
      </c>
      <c r="AQ113" s="313" t="s">
        <v>115</v>
      </c>
      <c r="AR113" s="329">
        <v>7.3196454196027246E-3</v>
      </c>
      <c r="AS113" s="323">
        <v>4</v>
      </c>
      <c r="AU113" s="319" t="s">
        <v>115</v>
      </c>
      <c r="AV113" s="336">
        <v>0.58269280158786219</v>
      </c>
      <c r="AW113" s="357">
        <v>2</v>
      </c>
      <c r="AZ113" s="307">
        <f t="shared" si="11"/>
        <v>16</v>
      </c>
      <c r="BA113" s="307">
        <f t="shared" si="12"/>
        <v>13</v>
      </c>
      <c r="BB113" s="307">
        <f t="shared" si="13"/>
        <v>13</v>
      </c>
      <c r="BE113" t="s">
        <v>149</v>
      </c>
      <c r="BF113">
        <v>2017</v>
      </c>
      <c r="BG113">
        <f>AZ39</f>
        <v>17</v>
      </c>
      <c r="BH113">
        <f t="shared" si="10"/>
        <v>1</v>
      </c>
    </row>
    <row r="114" spans="1:60" x14ac:dyDescent="0.2">
      <c r="A114" s="314" t="s">
        <v>487</v>
      </c>
      <c r="B114" s="315">
        <v>2.6966186746705435E-10</v>
      </c>
      <c r="C114" s="322">
        <v>3</v>
      </c>
      <c r="E114" s="314" t="s">
        <v>487</v>
      </c>
      <c r="F114" s="314">
        <v>0.88924387646432379</v>
      </c>
      <c r="G114" s="322">
        <v>3</v>
      </c>
      <c r="I114" s="311" t="s">
        <v>487</v>
      </c>
      <c r="J114" s="329">
        <v>9.165945436639053E-3</v>
      </c>
      <c r="K114" s="323">
        <v>4</v>
      </c>
      <c r="M114" s="317" t="s">
        <v>487</v>
      </c>
      <c r="N114" s="336">
        <v>0.81521667521042951</v>
      </c>
      <c r="O114" s="319">
        <v>2</v>
      </c>
      <c r="R114" s="314" t="s">
        <v>487</v>
      </c>
      <c r="S114" s="315">
        <v>2.3810604420292724E-10</v>
      </c>
      <c r="T114" s="322">
        <v>3</v>
      </c>
      <c r="V114" s="313" t="s">
        <v>487</v>
      </c>
      <c r="W114" s="335">
        <v>2.2520908004778972</v>
      </c>
      <c r="X114" s="313">
        <v>4</v>
      </c>
      <c r="Z114" s="313" t="s">
        <v>487</v>
      </c>
      <c r="AA114" s="340">
        <v>1.055828303090204E-2</v>
      </c>
      <c r="AB114" s="313">
        <v>4</v>
      </c>
      <c r="AD114" s="319" t="s">
        <v>487</v>
      </c>
      <c r="AE114" s="336">
        <v>0.82865779402113449</v>
      </c>
      <c r="AF114" s="324">
        <v>2</v>
      </c>
      <c r="AI114" s="316" t="s">
        <v>487</v>
      </c>
      <c r="AJ114" s="315">
        <v>2.1939179277549881E-10</v>
      </c>
      <c r="AK114" s="322">
        <v>3</v>
      </c>
      <c r="AM114" s="313" t="s">
        <v>487</v>
      </c>
      <c r="AN114" s="335">
        <v>1.2952799121844127</v>
      </c>
      <c r="AO114" s="323">
        <v>4</v>
      </c>
      <c r="AQ114" s="313" t="s">
        <v>487</v>
      </c>
      <c r="AR114" s="329">
        <v>5.1171824378407251E-3</v>
      </c>
      <c r="AS114" s="323">
        <v>4</v>
      </c>
      <c r="AU114" s="319" t="s">
        <v>487</v>
      </c>
      <c r="AV114" s="336">
        <v>0.79038474924080737</v>
      </c>
      <c r="AW114" s="357">
        <v>2</v>
      </c>
      <c r="AZ114" s="307">
        <f t="shared" si="11"/>
        <v>12</v>
      </c>
      <c r="BA114" s="307">
        <f t="shared" si="12"/>
        <v>13</v>
      </c>
      <c r="BB114" s="307">
        <f t="shared" si="13"/>
        <v>13</v>
      </c>
      <c r="BE114" t="s">
        <v>149</v>
      </c>
      <c r="BF114">
        <v>2018</v>
      </c>
      <c r="BG114">
        <f>BA39</f>
        <v>17</v>
      </c>
      <c r="BH114">
        <f t="shared" si="10"/>
        <v>1</v>
      </c>
    </row>
    <row r="115" spans="1:60" x14ac:dyDescent="0.2">
      <c r="A115" s="311" t="s">
        <v>310</v>
      </c>
      <c r="B115" s="312">
        <v>6.8435611200665542E-10</v>
      </c>
      <c r="C115" s="323">
        <v>4</v>
      </c>
      <c r="E115" s="308" t="s">
        <v>310</v>
      </c>
      <c r="F115" s="308">
        <v>0.31026252983293556</v>
      </c>
      <c r="G115" s="321">
        <v>2</v>
      </c>
      <c r="I115" s="308" t="s">
        <v>310</v>
      </c>
      <c r="J115" s="327">
        <v>0</v>
      </c>
      <c r="K115" s="321">
        <v>2</v>
      </c>
      <c r="M115" s="317" t="s">
        <v>310</v>
      </c>
      <c r="N115" s="336">
        <v>0.57513527376906459</v>
      </c>
      <c r="O115" s="319">
        <v>2</v>
      </c>
      <c r="R115" s="311" t="s">
        <v>310</v>
      </c>
      <c r="S115" s="312">
        <v>5.7179870743269698E-10</v>
      </c>
      <c r="T115" s="323">
        <v>4</v>
      </c>
      <c r="V115" s="310" t="s">
        <v>310</v>
      </c>
      <c r="W115" s="334">
        <v>0.22777369581190302</v>
      </c>
      <c r="X115" s="310">
        <v>2</v>
      </c>
      <c r="Z115" s="310" t="s">
        <v>310</v>
      </c>
      <c r="AA115" s="341">
        <v>0</v>
      </c>
      <c r="AB115" s="310">
        <v>2</v>
      </c>
      <c r="AD115" s="319" t="s">
        <v>310</v>
      </c>
      <c r="AE115" s="336">
        <v>0.57104063089362833</v>
      </c>
      <c r="AF115" s="324">
        <v>2</v>
      </c>
      <c r="AI115" s="313" t="s">
        <v>310</v>
      </c>
      <c r="AJ115" s="312">
        <v>6.338256380702479E-10</v>
      </c>
      <c r="AK115" s="323">
        <v>4</v>
      </c>
      <c r="AM115" s="310" t="s">
        <v>310</v>
      </c>
      <c r="AN115" s="334">
        <v>0.2419047619047619</v>
      </c>
      <c r="AO115" s="321">
        <v>2</v>
      </c>
      <c r="AQ115" s="310" t="s">
        <v>310</v>
      </c>
      <c r="AR115" s="327">
        <v>0</v>
      </c>
      <c r="AS115" s="321">
        <v>2</v>
      </c>
      <c r="AU115" s="354" t="s">
        <v>310</v>
      </c>
      <c r="AV115" s="355">
        <v>0.48385131373600365</v>
      </c>
      <c r="AW115" s="356">
        <v>3</v>
      </c>
      <c r="AZ115" s="307">
        <f t="shared" si="11"/>
        <v>10</v>
      </c>
      <c r="BA115" s="307">
        <f t="shared" si="12"/>
        <v>10</v>
      </c>
      <c r="BB115" s="307">
        <f t="shared" si="13"/>
        <v>11</v>
      </c>
      <c r="BE115" t="s">
        <v>149</v>
      </c>
      <c r="BF115">
        <v>2019</v>
      </c>
      <c r="BG115">
        <f>BB39</f>
        <v>17</v>
      </c>
      <c r="BH115">
        <f t="shared" si="10"/>
        <v>1</v>
      </c>
    </row>
    <row r="116" spans="1:60" x14ac:dyDescent="0.2">
      <c r="A116" s="311" t="s">
        <v>584</v>
      </c>
      <c r="B116" s="312">
        <v>9.015067228269526E-10</v>
      </c>
      <c r="C116" s="323">
        <v>4</v>
      </c>
      <c r="E116" s="317" t="s">
        <v>584</v>
      </c>
      <c r="F116" s="317">
        <v>3.9589905362776023</v>
      </c>
      <c r="G116" s="324">
        <v>5</v>
      </c>
      <c r="I116" s="311" t="s">
        <v>584</v>
      </c>
      <c r="J116" s="329">
        <v>2.6209863339844383E-3</v>
      </c>
      <c r="K116" s="323">
        <v>4</v>
      </c>
      <c r="M116" s="314" t="s">
        <v>584</v>
      </c>
      <c r="N116" s="337">
        <v>0.27986392402861493</v>
      </c>
      <c r="O116" s="316">
        <v>4</v>
      </c>
      <c r="R116" s="311" t="s">
        <v>584</v>
      </c>
      <c r="S116" s="312">
        <v>8.6008044536048511E-10</v>
      </c>
      <c r="T116" s="323">
        <v>4</v>
      </c>
      <c r="V116" s="319" t="s">
        <v>584</v>
      </c>
      <c r="W116" s="336">
        <v>3.7533512064343162</v>
      </c>
      <c r="X116" s="319">
        <v>5</v>
      </c>
      <c r="Z116" s="313" t="s">
        <v>584</v>
      </c>
      <c r="AA116" s="340">
        <v>2.6811730348127922E-3</v>
      </c>
      <c r="AB116" s="313">
        <v>4</v>
      </c>
      <c r="AD116" s="316" t="s">
        <v>584</v>
      </c>
      <c r="AE116" s="337">
        <v>0.26742867260958952</v>
      </c>
      <c r="AF116" s="322">
        <v>4</v>
      </c>
      <c r="AI116" s="319" t="s">
        <v>584</v>
      </c>
      <c r="AJ116" s="318">
        <v>9.0781798211347042E-10</v>
      </c>
      <c r="AK116" s="324">
        <v>5</v>
      </c>
      <c r="AM116" s="319" t="s">
        <v>584</v>
      </c>
      <c r="AN116" s="336">
        <v>3.5141509433962264</v>
      </c>
      <c r="AO116" s="324">
        <v>5</v>
      </c>
      <c r="AQ116" s="313" t="s">
        <v>584</v>
      </c>
      <c r="AR116" s="329">
        <v>2.9351002880981837E-3</v>
      </c>
      <c r="AS116" s="323">
        <v>4</v>
      </c>
      <c r="AU116" s="316" t="s">
        <v>584</v>
      </c>
      <c r="AV116" s="337">
        <v>0.24155410026646446</v>
      </c>
      <c r="AW116" s="322">
        <v>4</v>
      </c>
      <c r="AZ116" s="307">
        <f t="shared" si="11"/>
        <v>17</v>
      </c>
      <c r="BA116" s="307">
        <f t="shared" si="12"/>
        <v>17</v>
      </c>
      <c r="BB116" s="307">
        <f t="shared" si="13"/>
        <v>18</v>
      </c>
      <c r="BE116" t="s">
        <v>433</v>
      </c>
      <c r="BF116">
        <v>2017</v>
      </c>
      <c r="BG116">
        <f>AZ40</f>
        <v>14</v>
      </c>
      <c r="BH116">
        <f t="shared" si="10"/>
        <v>1</v>
      </c>
    </row>
    <row r="117" spans="1:60" x14ac:dyDescent="0.2">
      <c r="A117" s="308" t="s">
        <v>314</v>
      </c>
      <c r="B117" s="309">
        <v>1.6827568385413523E-10</v>
      </c>
      <c r="C117" s="321">
        <v>2</v>
      </c>
      <c r="E117" s="308" t="s">
        <v>314</v>
      </c>
      <c r="F117" s="308">
        <v>0.39398998330550916</v>
      </c>
      <c r="G117" s="321">
        <v>2</v>
      </c>
      <c r="I117" s="308" t="s">
        <v>314</v>
      </c>
      <c r="J117" s="327">
        <v>0</v>
      </c>
      <c r="K117" s="321">
        <v>2</v>
      </c>
      <c r="M117" s="317" t="s">
        <v>314</v>
      </c>
      <c r="N117" s="336">
        <v>0.86563562856594145</v>
      </c>
      <c r="O117" s="319">
        <v>2</v>
      </c>
      <c r="R117" s="308" t="s">
        <v>314</v>
      </c>
      <c r="S117" s="309">
        <v>1.6303557285300593E-10</v>
      </c>
      <c r="T117" s="321">
        <v>2</v>
      </c>
      <c r="V117" s="310" t="s">
        <v>314</v>
      </c>
      <c r="W117" s="334">
        <v>0.1943620178041543</v>
      </c>
      <c r="X117" s="310">
        <v>2</v>
      </c>
      <c r="Z117" s="310" t="s">
        <v>314</v>
      </c>
      <c r="AA117" s="341">
        <v>0</v>
      </c>
      <c r="AB117" s="310">
        <v>2</v>
      </c>
      <c r="AD117" s="319" t="s">
        <v>314</v>
      </c>
      <c r="AE117" s="336">
        <v>0.83814436753881494</v>
      </c>
      <c r="AF117" s="324">
        <v>2</v>
      </c>
      <c r="AI117" s="310" t="s">
        <v>314</v>
      </c>
      <c r="AJ117" s="309">
        <v>1.4078197403252368E-10</v>
      </c>
      <c r="AK117" s="321">
        <v>2</v>
      </c>
      <c r="AM117" s="310" t="s">
        <v>314</v>
      </c>
      <c r="AN117" s="334">
        <v>0.25981873111782477</v>
      </c>
      <c r="AO117" s="321">
        <v>2</v>
      </c>
      <c r="AQ117" s="310" t="s">
        <v>314</v>
      </c>
      <c r="AR117" s="327">
        <v>0</v>
      </c>
      <c r="AS117" s="321">
        <v>2</v>
      </c>
      <c r="AU117" s="319" t="s">
        <v>314</v>
      </c>
      <c r="AV117" s="336">
        <v>0.8185391982941862</v>
      </c>
      <c r="AW117" s="357">
        <v>2</v>
      </c>
      <c r="AZ117" s="307">
        <f t="shared" si="11"/>
        <v>8</v>
      </c>
      <c r="BA117" s="307">
        <f t="shared" si="12"/>
        <v>8</v>
      </c>
      <c r="BB117" s="307">
        <f t="shared" si="13"/>
        <v>8</v>
      </c>
      <c r="BE117" t="s">
        <v>433</v>
      </c>
      <c r="BF117">
        <v>2018</v>
      </c>
      <c r="BG117">
        <f>BA40</f>
        <v>12</v>
      </c>
      <c r="BH117">
        <f t="shared" si="10"/>
        <v>0</v>
      </c>
    </row>
    <row r="118" spans="1:60" x14ac:dyDescent="0.2">
      <c r="A118" s="311" t="s">
        <v>850</v>
      </c>
      <c r="B118" s="312">
        <v>8.7568151653390889E-10</v>
      </c>
      <c r="C118" s="323">
        <v>4</v>
      </c>
      <c r="E118" s="314" t="s">
        <v>850</v>
      </c>
      <c r="F118" s="314">
        <v>1.1960478419136766</v>
      </c>
      <c r="G118" s="322">
        <v>3</v>
      </c>
      <c r="I118" s="311" t="s">
        <v>850</v>
      </c>
      <c r="J118" s="329">
        <v>3.3638849591499588E-3</v>
      </c>
      <c r="K118" s="323">
        <v>4</v>
      </c>
      <c r="M118" s="314" t="s">
        <v>850</v>
      </c>
      <c r="N118" s="337">
        <v>0.18031320270577419</v>
      </c>
      <c r="O118" s="316">
        <v>4</v>
      </c>
      <c r="R118" s="311" t="s">
        <v>850</v>
      </c>
      <c r="S118" s="312">
        <v>7.4536786081640045E-10</v>
      </c>
      <c r="T118" s="323">
        <v>4</v>
      </c>
      <c r="V118" s="319" t="s">
        <v>850</v>
      </c>
      <c r="W118" s="336">
        <v>2.4771838331160363</v>
      </c>
      <c r="X118" s="319">
        <v>5</v>
      </c>
      <c r="Z118" s="313" t="s">
        <v>850</v>
      </c>
      <c r="AA118" s="340">
        <v>3.8387597989707214E-3</v>
      </c>
      <c r="AB118" s="313">
        <v>4</v>
      </c>
      <c r="AD118" s="310" t="s">
        <v>850</v>
      </c>
      <c r="AE118" s="334">
        <v>0.13784675056027082</v>
      </c>
      <c r="AF118" s="321">
        <v>5</v>
      </c>
      <c r="AI118" s="319" t="s">
        <v>850</v>
      </c>
      <c r="AJ118" s="318">
        <v>8.9432362385245615E-10</v>
      </c>
      <c r="AK118" s="324">
        <v>5</v>
      </c>
      <c r="AM118" s="319" t="s">
        <v>850</v>
      </c>
      <c r="AN118" s="336">
        <v>2.375745526838966</v>
      </c>
      <c r="AO118" s="324">
        <v>5</v>
      </c>
      <c r="AQ118" s="313" t="s">
        <v>850</v>
      </c>
      <c r="AR118" s="329">
        <v>4.8440650239046984E-3</v>
      </c>
      <c r="AS118" s="323">
        <v>4</v>
      </c>
      <c r="AU118" s="310" t="s">
        <v>850</v>
      </c>
      <c r="AV118" s="334">
        <v>9.9058384459173435E-2</v>
      </c>
      <c r="AW118" s="321">
        <v>5</v>
      </c>
      <c r="AZ118" s="307">
        <f t="shared" si="11"/>
        <v>15</v>
      </c>
      <c r="BA118" s="307">
        <f t="shared" si="12"/>
        <v>18</v>
      </c>
      <c r="BB118" s="307">
        <f t="shared" si="13"/>
        <v>19</v>
      </c>
      <c r="BE118" t="s">
        <v>433</v>
      </c>
      <c r="BF118">
        <v>2019</v>
      </c>
      <c r="BG118">
        <f>BB40</f>
        <v>12</v>
      </c>
      <c r="BH118">
        <f t="shared" si="10"/>
        <v>0</v>
      </c>
    </row>
    <row r="119" spans="1:60" x14ac:dyDescent="0.2">
      <c r="A119" s="317" t="s">
        <v>588</v>
      </c>
      <c r="B119" s="318">
        <v>1.585268349000457E-9</v>
      </c>
      <c r="C119" s="324">
        <v>5</v>
      </c>
      <c r="E119" s="311" t="s">
        <v>588</v>
      </c>
      <c r="F119" s="311">
        <v>1.3103448275862069</v>
      </c>
      <c r="G119" s="323">
        <v>4</v>
      </c>
      <c r="I119" s="308" t="s">
        <v>588</v>
      </c>
      <c r="J119" s="327">
        <v>0</v>
      </c>
      <c r="K119" s="321">
        <v>2</v>
      </c>
      <c r="M119" s="311" t="s">
        <v>588</v>
      </c>
      <c r="N119" s="335">
        <v>0.45830115959711321</v>
      </c>
      <c r="O119" s="313">
        <v>3</v>
      </c>
      <c r="R119" s="317" t="s">
        <v>588</v>
      </c>
      <c r="S119" s="318">
        <v>1.2481814967596959E-9</v>
      </c>
      <c r="T119" s="324">
        <v>5</v>
      </c>
      <c r="V119" s="316" t="s">
        <v>588</v>
      </c>
      <c r="W119" s="337">
        <v>0.97547683923705719</v>
      </c>
      <c r="X119" s="316">
        <v>3</v>
      </c>
      <c r="Z119" s="310" t="s">
        <v>588</v>
      </c>
      <c r="AA119" s="341">
        <v>0</v>
      </c>
      <c r="AB119" s="310">
        <v>2</v>
      </c>
      <c r="AD119" s="313" t="s">
        <v>588</v>
      </c>
      <c r="AE119" s="335">
        <v>0.47906940867482778</v>
      </c>
      <c r="AF119" s="323">
        <v>3</v>
      </c>
      <c r="AI119" s="319" t="s">
        <v>588</v>
      </c>
      <c r="AJ119" s="318">
        <v>1.1339311244932232E-9</v>
      </c>
      <c r="AK119" s="324">
        <v>5</v>
      </c>
      <c r="AM119" s="316" t="s">
        <v>588</v>
      </c>
      <c r="AN119" s="337">
        <v>0.64356435643564358</v>
      </c>
      <c r="AO119" s="322">
        <v>3</v>
      </c>
      <c r="AQ119" s="310" t="s">
        <v>588</v>
      </c>
      <c r="AR119" s="327">
        <v>0</v>
      </c>
      <c r="AS119" s="321">
        <v>2</v>
      </c>
      <c r="AU119" s="354" t="s">
        <v>588</v>
      </c>
      <c r="AV119" s="355">
        <v>0.41930121925692493</v>
      </c>
      <c r="AW119" s="356">
        <v>3</v>
      </c>
      <c r="AZ119" s="307">
        <f t="shared" si="11"/>
        <v>14</v>
      </c>
      <c r="BA119" s="307">
        <f t="shared" si="12"/>
        <v>13</v>
      </c>
      <c r="BB119" s="307">
        <f t="shared" si="13"/>
        <v>13</v>
      </c>
      <c r="BE119" t="s">
        <v>635</v>
      </c>
      <c r="BF119">
        <v>2017</v>
      </c>
      <c r="BG119">
        <f>AZ41</f>
        <v>13</v>
      </c>
      <c r="BH119">
        <f t="shared" si="10"/>
        <v>1</v>
      </c>
    </row>
    <row r="120" spans="1:60" x14ac:dyDescent="0.2">
      <c r="A120" s="317" t="s">
        <v>119</v>
      </c>
      <c r="B120" s="318">
        <v>1.65790767116746E-9</v>
      </c>
      <c r="C120" s="324">
        <v>5</v>
      </c>
      <c r="E120" s="317" t="s">
        <v>119</v>
      </c>
      <c r="F120" s="317">
        <v>3.5294117647058822</v>
      </c>
      <c r="G120" s="324">
        <v>5</v>
      </c>
      <c r="I120" s="308" t="s">
        <v>119</v>
      </c>
      <c r="J120" s="327">
        <v>0</v>
      </c>
      <c r="K120" s="321">
        <v>2</v>
      </c>
      <c r="M120" s="314" t="s">
        <v>119</v>
      </c>
      <c r="N120" s="337">
        <v>0.20127599729256543</v>
      </c>
      <c r="O120" s="316">
        <v>4</v>
      </c>
      <c r="R120" s="317" t="s">
        <v>119</v>
      </c>
      <c r="S120" s="318">
        <v>1.8419305364769288E-9</v>
      </c>
      <c r="T120" s="324">
        <v>5</v>
      </c>
      <c r="V120" s="319" t="s">
        <v>119</v>
      </c>
      <c r="W120" s="336">
        <v>2.9274004683840751</v>
      </c>
      <c r="X120" s="319">
        <v>5</v>
      </c>
      <c r="Z120" s="310" t="s">
        <v>119</v>
      </c>
      <c r="AA120" s="341">
        <v>0</v>
      </c>
      <c r="AB120" s="310">
        <v>2</v>
      </c>
      <c r="AD120" s="313" t="s">
        <v>119</v>
      </c>
      <c r="AE120" s="335">
        <v>0.40540015566336041</v>
      </c>
      <c r="AF120" s="323">
        <v>3</v>
      </c>
      <c r="AI120" s="319" t="s">
        <v>119</v>
      </c>
      <c r="AJ120" s="318">
        <v>2.0629647880146029E-9</v>
      </c>
      <c r="AK120" s="324">
        <v>5</v>
      </c>
      <c r="AM120" s="313" t="s">
        <v>119</v>
      </c>
      <c r="AN120" s="335">
        <v>1.9789227166276346</v>
      </c>
      <c r="AO120" s="323">
        <v>4</v>
      </c>
      <c r="AQ120" s="310" t="s">
        <v>119</v>
      </c>
      <c r="AR120" s="327">
        <v>0</v>
      </c>
      <c r="AS120" s="321">
        <v>2</v>
      </c>
      <c r="AU120" s="354" t="s">
        <v>119</v>
      </c>
      <c r="AV120" s="355">
        <v>0.39192178155035484</v>
      </c>
      <c r="AW120" s="356">
        <v>3</v>
      </c>
      <c r="AZ120" s="307">
        <f t="shared" si="11"/>
        <v>16</v>
      </c>
      <c r="BA120" s="307">
        <f t="shared" si="12"/>
        <v>15</v>
      </c>
      <c r="BB120" s="307">
        <f t="shared" si="13"/>
        <v>14</v>
      </c>
      <c r="BE120" t="s">
        <v>635</v>
      </c>
      <c r="BF120">
        <v>2018</v>
      </c>
      <c r="BG120">
        <f>BA41</f>
        <v>14</v>
      </c>
      <c r="BH120">
        <f t="shared" si="10"/>
        <v>1</v>
      </c>
    </row>
    <row r="121" spans="1:60" x14ac:dyDescent="0.2">
      <c r="A121" s="308" t="s">
        <v>320</v>
      </c>
      <c r="B121" s="309">
        <v>1.4690219073173944E-10</v>
      </c>
      <c r="C121" s="321">
        <v>2</v>
      </c>
      <c r="E121" s="317" t="s">
        <v>320</v>
      </c>
      <c r="F121" s="317">
        <v>9.1785714285714288</v>
      </c>
      <c r="G121" s="324">
        <v>5</v>
      </c>
      <c r="I121" s="308" t="s">
        <v>320</v>
      </c>
      <c r="J121" s="327">
        <v>0</v>
      </c>
      <c r="K121" s="321">
        <v>2</v>
      </c>
      <c r="M121" s="317" t="s">
        <v>320</v>
      </c>
      <c r="N121" s="336">
        <v>0.77351536590887915</v>
      </c>
      <c r="O121" s="319">
        <v>2</v>
      </c>
      <c r="R121" s="308" t="s">
        <v>320</v>
      </c>
      <c r="S121" s="309">
        <v>1.4172778677471326E-10</v>
      </c>
      <c r="T121" s="321">
        <v>2</v>
      </c>
      <c r="V121" s="319" t="s">
        <v>320</v>
      </c>
      <c r="W121" s="336">
        <v>4.4444444444444446</v>
      </c>
      <c r="X121" s="319">
        <v>5</v>
      </c>
      <c r="Z121" s="310" t="s">
        <v>320</v>
      </c>
      <c r="AA121" s="341">
        <v>0</v>
      </c>
      <c r="AB121" s="310">
        <v>2</v>
      </c>
      <c r="AD121" s="319" t="s">
        <v>320</v>
      </c>
      <c r="AE121" s="336">
        <v>0.75148719263102759</v>
      </c>
      <c r="AF121" s="324">
        <v>2</v>
      </c>
      <c r="AI121" s="310" t="s">
        <v>320</v>
      </c>
      <c r="AJ121" s="309">
        <v>1.4471958664680886E-10</v>
      </c>
      <c r="AK121" s="321">
        <v>2</v>
      </c>
      <c r="AM121" s="319" t="s">
        <v>320</v>
      </c>
      <c r="AN121" s="336">
        <v>5.0617283950617287</v>
      </c>
      <c r="AO121" s="324">
        <v>5</v>
      </c>
      <c r="AQ121" s="310" t="s">
        <v>320</v>
      </c>
      <c r="AR121" s="327">
        <v>0</v>
      </c>
      <c r="AS121" s="321">
        <v>2</v>
      </c>
      <c r="AU121" s="319" t="s">
        <v>320</v>
      </c>
      <c r="AV121" s="336">
        <v>0.798442781433228</v>
      </c>
      <c r="AW121" s="357">
        <v>2</v>
      </c>
      <c r="AZ121" s="307">
        <f t="shared" si="11"/>
        <v>11</v>
      </c>
      <c r="BA121" s="307">
        <f t="shared" si="12"/>
        <v>11</v>
      </c>
      <c r="BB121" s="307">
        <f t="shared" si="13"/>
        <v>11</v>
      </c>
      <c r="BE121" t="s">
        <v>635</v>
      </c>
      <c r="BF121">
        <v>2019</v>
      </c>
      <c r="BG121">
        <f>BB41</f>
        <v>15</v>
      </c>
      <c r="BH121">
        <f t="shared" si="10"/>
        <v>1</v>
      </c>
    </row>
    <row r="122" spans="1:60" x14ac:dyDescent="0.2">
      <c r="A122" s="314" t="s">
        <v>212</v>
      </c>
      <c r="B122" s="315">
        <v>4.202922256634979E-10</v>
      </c>
      <c r="C122" s="322">
        <v>3</v>
      </c>
      <c r="E122" s="311" t="s">
        <v>212</v>
      </c>
      <c r="F122" s="311">
        <v>1.6377005347593583</v>
      </c>
      <c r="G122" s="323">
        <v>4</v>
      </c>
      <c r="I122" s="314" t="s">
        <v>212</v>
      </c>
      <c r="J122" s="328">
        <v>3.0162541221396839E-4</v>
      </c>
      <c r="K122" s="322">
        <v>3</v>
      </c>
      <c r="M122" s="311" t="s">
        <v>212</v>
      </c>
      <c r="N122" s="335">
        <v>0.44155087038483976</v>
      </c>
      <c r="O122" s="313">
        <v>3</v>
      </c>
      <c r="R122" s="314" t="s">
        <v>212</v>
      </c>
      <c r="S122" s="315">
        <v>4.1637216683813337E-10</v>
      </c>
      <c r="T122" s="322">
        <v>3</v>
      </c>
      <c r="V122" s="316" t="s">
        <v>212</v>
      </c>
      <c r="W122" s="337">
        <v>0.96648044692737434</v>
      </c>
      <c r="X122" s="316">
        <v>3</v>
      </c>
      <c r="Z122" s="316" t="s">
        <v>212</v>
      </c>
      <c r="AA122" s="342">
        <v>5.9431990359945443E-4</v>
      </c>
      <c r="AB122" s="316">
        <v>3</v>
      </c>
      <c r="AD122" s="313" t="s">
        <v>212</v>
      </c>
      <c r="AE122" s="335">
        <v>0.39342038233244281</v>
      </c>
      <c r="AF122" s="323">
        <v>3</v>
      </c>
      <c r="AI122" s="316" t="s">
        <v>212</v>
      </c>
      <c r="AJ122" s="315">
        <v>4.06179030732143E-10</v>
      </c>
      <c r="AK122" s="322">
        <v>3</v>
      </c>
      <c r="AM122" s="316" t="s">
        <v>212</v>
      </c>
      <c r="AN122" s="337">
        <v>0.9920239282153539</v>
      </c>
      <c r="AO122" s="322">
        <v>3</v>
      </c>
      <c r="AQ122" s="316" t="s">
        <v>212</v>
      </c>
      <c r="AR122" s="328">
        <v>3.1957594252930005E-4</v>
      </c>
      <c r="AS122" s="322">
        <v>3</v>
      </c>
      <c r="AU122" s="354" t="s">
        <v>212</v>
      </c>
      <c r="AV122" s="355">
        <v>0.37388659093130377</v>
      </c>
      <c r="AW122" s="356">
        <v>3</v>
      </c>
      <c r="AZ122" s="307">
        <f t="shared" si="11"/>
        <v>13</v>
      </c>
      <c r="BA122" s="307">
        <f t="shared" si="12"/>
        <v>12</v>
      </c>
      <c r="BB122" s="307">
        <f t="shared" si="13"/>
        <v>12</v>
      </c>
      <c r="BE122" t="s">
        <v>757</v>
      </c>
      <c r="BF122">
        <v>2017</v>
      </c>
      <c r="BG122">
        <f>AZ42</f>
        <v>18</v>
      </c>
      <c r="BH122">
        <f t="shared" si="10"/>
        <v>1</v>
      </c>
    </row>
    <row r="123" spans="1:60" x14ac:dyDescent="0.2">
      <c r="A123" s="317" t="s">
        <v>215</v>
      </c>
      <c r="B123" s="318">
        <v>1.9387414973962579E-9</v>
      </c>
      <c r="C123" s="324">
        <v>5</v>
      </c>
      <c r="E123" s="311" t="s">
        <v>215</v>
      </c>
      <c r="F123" s="311">
        <v>1.9368102142393422</v>
      </c>
      <c r="G123" s="323">
        <v>4</v>
      </c>
      <c r="I123" s="317" t="s">
        <v>215</v>
      </c>
      <c r="J123" s="330">
        <v>3.6393467095067376E-2</v>
      </c>
      <c r="K123" s="324">
        <v>5</v>
      </c>
      <c r="M123" s="311" t="s">
        <v>215</v>
      </c>
      <c r="N123" s="335">
        <v>0.40843418997670489</v>
      </c>
      <c r="O123" s="313">
        <v>3</v>
      </c>
      <c r="R123" s="317" t="s">
        <v>215</v>
      </c>
      <c r="S123" s="318">
        <v>1.9590340686271719E-9</v>
      </c>
      <c r="T123" s="324">
        <v>5</v>
      </c>
      <c r="V123" s="313" t="s">
        <v>215</v>
      </c>
      <c r="W123" s="335">
        <v>1.7585890508716484</v>
      </c>
      <c r="X123" s="313">
        <v>4</v>
      </c>
      <c r="Z123" s="319" t="s">
        <v>215</v>
      </c>
      <c r="AA123" s="343">
        <v>3.6059085581055111E-2</v>
      </c>
      <c r="AB123" s="319">
        <v>5</v>
      </c>
      <c r="AD123" s="313" t="s">
        <v>215</v>
      </c>
      <c r="AE123" s="335">
        <v>0.40844595101225317</v>
      </c>
      <c r="AF123" s="323">
        <v>3</v>
      </c>
      <c r="AI123" s="319" t="s">
        <v>215</v>
      </c>
      <c r="AJ123" s="318">
        <v>1.7655963661345951E-9</v>
      </c>
      <c r="AK123" s="324">
        <v>5</v>
      </c>
      <c r="AM123" s="316" t="s">
        <v>215</v>
      </c>
      <c r="AN123" s="337">
        <v>1.0953993228440551</v>
      </c>
      <c r="AO123" s="322">
        <v>3</v>
      </c>
      <c r="AQ123" s="319" t="s">
        <v>215</v>
      </c>
      <c r="AR123" s="330">
        <v>3.5812892310300708E-2</v>
      </c>
      <c r="AS123" s="324">
        <v>5</v>
      </c>
      <c r="AU123" s="354" t="s">
        <v>215</v>
      </c>
      <c r="AV123" s="355">
        <v>0.36778882428902854</v>
      </c>
      <c r="AW123" s="356">
        <v>3</v>
      </c>
      <c r="AZ123" s="307">
        <f t="shared" si="11"/>
        <v>17</v>
      </c>
      <c r="BA123" s="307">
        <f t="shared" si="12"/>
        <v>17</v>
      </c>
      <c r="BB123" s="307">
        <f t="shared" si="13"/>
        <v>16</v>
      </c>
      <c r="BE123" t="s">
        <v>757</v>
      </c>
      <c r="BF123">
        <v>2018</v>
      </c>
      <c r="BG123">
        <f>BA42</f>
        <v>18</v>
      </c>
      <c r="BH123">
        <f t="shared" si="10"/>
        <v>1</v>
      </c>
    </row>
    <row r="124" spans="1:60" x14ac:dyDescent="0.2">
      <c r="A124" s="311" t="s">
        <v>391</v>
      </c>
      <c r="B124" s="312">
        <v>5.0308337926215887E-10</v>
      </c>
      <c r="C124" s="323">
        <v>4</v>
      </c>
      <c r="E124" s="314" t="s">
        <v>391</v>
      </c>
      <c r="F124" s="314">
        <v>0.95325953259532592</v>
      </c>
      <c r="G124" s="322">
        <v>3</v>
      </c>
      <c r="I124" s="308" t="s">
        <v>391</v>
      </c>
      <c r="J124" s="327">
        <v>0</v>
      </c>
      <c r="K124" s="321">
        <v>2</v>
      </c>
      <c r="M124" s="314" t="s">
        <v>391</v>
      </c>
      <c r="N124" s="337">
        <v>0.20733655549043056</v>
      </c>
      <c r="O124" s="316">
        <v>4</v>
      </c>
      <c r="R124" s="314" t="s">
        <v>391</v>
      </c>
      <c r="S124" s="315">
        <v>4.10287058429688E-10</v>
      </c>
      <c r="T124" s="322">
        <v>3</v>
      </c>
      <c r="V124" s="316" t="s">
        <v>391</v>
      </c>
      <c r="W124" s="337">
        <v>0.86285714285714288</v>
      </c>
      <c r="X124" s="316">
        <v>3</v>
      </c>
      <c r="Z124" s="310" t="s">
        <v>391</v>
      </c>
      <c r="AA124" s="341">
        <v>0</v>
      </c>
      <c r="AB124" s="310">
        <v>2</v>
      </c>
      <c r="AD124" s="316" t="s">
        <v>391</v>
      </c>
      <c r="AE124" s="337">
        <v>0.20367953216297427</v>
      </c>
      <c r="AF124" s="322">
        <v>4</v>
      </c>
      <c r="AI124" s="316" t="s">
        <v>391</v>
      </c>
      <c r="AJ124" s="315">
        <v>2.3628908127375615E-10</v>
      </c>
      <c r="AK124" s="322">
        <v>3</v>
      </c>
      <c r="AM124" s="313" t="s">
        <v>391</v>
      </c>
      <c r="AN124" s="335">
        <v>1.168532781319326</v>
      </c>
      <c r="AO124" s="323">
        <v>4</v>
      </c>
      <c r="AQ124" s="310" t="s">
        <v>391</v>
      </c>
      <c r="AR124" s="327">
        <v>0</v>
      </c>
      <c r="AS124" s="321">
        <v>2</v>
      </c>
      <c r="AU124" s="310" t="s">
        <v>391</v>
      </c>
      <c r="AV124" s="334">
        <v>0.17687372079493241</v>
      </c>
      <c r="AW124" s="321">
        <v>5</v>
      </c>
      <c r="AZ124" s="307">
        <f t="shared" si="11"/>
        <v>13</v>
      </c>
      <c r="BA124" s="307">
        <f t="shared" si="12"/>
        <v>12</v>
      </c>
      <c r="BB124" s="307">
        <f t="shared" si="13"/>
        <v>14</v>
      </c>
      <c r="BE124" t="s">
        <v>757</v>
      </c>
      <c r="BF124">
        <v>2019</v>
      </c>
      <c r="BG124">
        <f>BB42</f>
        <v>18</v>
      </c>
      <c r="BH124">
        <f t="shared" si="10"/>
        <v>1</v>
      </c>
    </row>
    <row r="125" spans="1:60" x14ac:dyDescent="0.2">
      <c r="A125" s="308" t="s">
        <v>325</v>
      </c>
      <c r="B125" s="309">
        <v>1.8763254740518962E-10</v>
      </c>
      <c r="C125" s="321">
        <v>2</v>
      </c>
      <c r="E125" s="317" t="s">
        <v>325</v>
      </c>
      <c r="F125" s="317">
        <v>3.9257294429708223</v>
      </c>
      <c r="G125" s="324">
        <v>5</v>
      </c>
      <c r="I125" s="308" t="s">
        <v>325</v>
      </c>
      <c r="J125" s="327">
        <v>0</v>
      </c>
      <c r="K125" s="321">
        <v>2</v>
      </c>
      <c r="M125" s="317" t="s">
        <v>325</v>
      </c>
      <c r="N125" s="336">
        <v>0.65582616231031221</v>
      </c>
      <c r="O125" s="319">
        <v>2</v>
      </c>
      <c r="R125" s="308" t="s">
        <v>325</v>
      </c>
      <c r="S125" s="309">
        <v>1.8405156594078787E-10</v>
      </c>
      <c r="T125" s="321">
        <v>2</v>
      </c>
      <c r="V125" s="319" t="s">
        <v>325</v>
      </c>
      <c r="W125" s="336">
        <v>3.1672297297297298</v>
      </c>
      <c r="X125" s="319">
        <v>5</v>
      </c>
      <c r="Z125" s="310" t="s">
        <v>325</v>
      </c>
      <c r="AA125" s="341">
        <v>0</v>
      </c>
      <c r="AB125" s="310">
        <v>2</v>
      </c>
      <c r="AD125" s="319" t="s">
        <v>325</v>
      </c>
      <c r="AE125" s="336">
        <v>0.69471764728704732</v>
      </c>
      <c r="AF125" s="324">
        <v>2</v>
      </c>
      <c r="AI125" s="310" t="s">
        <v>325</v>
      </c>
      <c r="AJ125" s="309">
        <v>1.7904062198027543E-10</v>
      </c>
      <c r="AK125" s="321">
        <v>2</v>
      </c>
      <c r="AM125" s="319" t="s">
        <v>325</v>
      </c>
      <c r="AN125" s="336">
        <v>3.3558748943364329</v>
      </c>
      <c r="AO125" s="324">
        <v>5</v>
      </c>
      <c r="AQ125" s="310" t="s">
        <v>325</v>
      </c>
      <c r="AR125" s="327">
        <v>0</v>
      </c>
      <c r="AS125" s="321">
        <v>2</v>
      </c>
      <c r="AU125" s="319" t="s">
        <v>325</v>
      </c>
      <c r="AV125" s="336">
        <v>0.70961719286825065</v>
      </c>
      <c r="AW125" s="357">
        <v>2</v>
      </c>
      <c r="AZ125" s="307">
        <f t="shared" si="11"/>
        <v>11</v>
      </c>
      <c r="BA125" s="307">
        <f t="shared" si="12"/>
        <v>11</v>
      </c>
      <c r="BB125" s="307">
        <f t="shared" si="13"/>
        <v>11</v>
      </c>
      <c r="BE125" t="s">
        <v>760</v>
      </c>
      <c r="BF125">
        <v>2017</v>
      </c>
      <c r="BG125">
        <f>AZ43</f>
        <v>13</v>
      </c>
      <c r="BH125">
        <f t="shared" si="10"/>
        <v>1</v>
      </c>
    </row>
    <row r="126" spans="1:60" x14ac:dyDescent="0.2">
      <c r="A126" s="308" t="s">
        <v>329</v>
      </c>
      <c r="B126" s="309">
        <v>2.1890028895243866E-10</v>
      </c>
      <c r="C126" s="321">
        <v>2</v>
      </c>
      <c r="E126" s="311" t="s">
        <v>329</v>
      </c>
      <c r="F126" s="311">
        <v>1.2793296089385475</v>
      </c>
      <c r="G126" s="323">
        <v>4</v>
      </c>
      <c r="I126" s="308" t="s">
        <v>329</v>
      </c>
      <c r="J126" s="327">
        <v>0</v>
      </c>
      <c r="K126" s="321">
        <v>2</v>
      </c>
      <c r="M126" s="317" t="s">
        <v>329</v>
      </c>
      <c r="N126" s="336">
        <v>0.80252490301116475</v>
      </c>
      <c r="O126" s="319">
        <v>2</v>
      </c>
      <c r="R126" s="308" t="s">
        <v>329</v>
      </c>
      <c r="S126" s="309">
        <v>1.8448236102939433E-10</v>
      </c>
      <c r="T126" s="321">
        <v>2</v>
      </c>
      <c r="V126" s="316" t="s">
        <v>329</v>
      </c>
      <c r="W126" s="337">
        <v>0.85561497326203206</v>
      </c>
      <c r="X126" s="316">
        <v>3</v>
      </c>
      <c r="Z126" s="310" t="s">
        <v>329</v>
      </c>
      <c r="AA126" s="341">
        <v>0</v>
      </c>
      <c r="AB126" s="310">
        <v>2</v>
      </c>
      <c r="AD126" s="319" t="s">
        <v>329</v>
      </c>
      <c r="AE126" s="336">
        <v>0.76710123893979965</v>
      </c>
      <c r="AF126" s="324">
        <v>2</v>
      </c>
      <c r="AI126" s="310" t="s">
        <v>329</v>
      </c>
      <c r="AJ126" s="309">
        <v>1.8907210971436579E-10</v>
      </c>
      <c r="AK126" s="321">
        <v>2</v>
      </c>
      <c r="AM126" s="310" t="s">
        <v>329</v>
      </c>
      <c r="AN126" s="334">
        <v>0.49275362318840582</v>
      </c>
      <c r="AO126" s="321">
        <v>2</v>
      </c>
      <c r="AQ126" s="310" t="s">
        <v>329</v>
      </c>
      <c r="AR126" s="327">
        <v>0</v>
      </c>
      <c r="AS126" s="321">
        <v>2</v>
      </c>
      <c r="AU126" s="319" t="s">
        <v>329</v>
      </c>
      <c r="AV126" s="336">
        <v>0.7690807926516563</v>
      </c>
      <c r="AW126" s="357">
        <v>2</v>
      </c>
      <c r="AZ126" s="307">
        <f t="shared" si="11"/>
        <v>10</v>
      </c>
      <c r="BA126" s="307">
        <f t="shared" si="12"/>
        <v>9</v>
      </c>
      <c r="BB126" s="307">
        <f t="shared" si="13"/>
        <v>8</v>
      </c>
      <c r="BE126" t="s">
        <v>760</v>
      </c>
      <c r="BF126">
        <v>2018</v>
      </c>
      <c r="BG126">
        <f>BA43</f>
        <v>15</v>
      </c>
      <c r="BH126">
        <f t="shared" si="10"/>
        <v>1</v>
      </c>
    </row>
    <row r="127" spans="1:60" x14ac:dyDescent="0.2">
      <c r="A127" s="308" t="s">
        <v>397</v>
      </c>
      <c r="B127" s="309">
        <v>1.7836740730217981E-10</v>
      </c>
      <c r="C127" s="321">
        <v>2</v>
      </c>
      <c r="E127" s="311" t="s">
        <v>397</v>
      </c>
      <c r="F127" s="311">
        <v>1.773972602739726</v>
      </c>
      <c r="G127" s="323">
        <v>4</v>
      </c>
      <c r="I127" s="308" t="s">
        <v>397</v>
      </c>
      <c r="J127" s="327">
        <v>0</v>
      </c>
      <c r="K127" s="321">
        <v>2</v>
      </c>
      <c r="M127" s="308" t="s">
        <v>397</v>
      </c>
      <c r="N127" s="334">
        <v>0.13364779684634376</v>
      </c>
      <c r="O127" s="310">
        <v>5</v>
      </c>
      <c r="R127" s="308" t="s">
        <v>397</v>
      </c>
      <c r="S127" s="309">
        <v>1.1246563840187795E-10</v>
      </c>
      <c r="T127" s="321">
        <v>2</v>
      </c>
      <c r="V127" s="316" t="s">
        <v>397</v>
      </c>
      <c r="W127" s="337">
        <v>1.0411311053984575</v>
      </c>
      <c r="X127" s="316">
        <v>3</v>
      </c>
      <c r="Z127" s="310" t="s">
        <v>397</v>
      </c>
      <c r="AA127" s="341">
        <v>0</v>
      </c>
      <c r="AB127" s="310">
        <v>2</v>
      </c>
      <c r="AD127" s="310" t="s">
        <v>397</v>
      </c>
      <c r="AE127" s="334">
        <v>8.3755418596463307E-2</v>
      </c>
      <c r="AF127" s="321">
        <v>5</v>
      </c>
      <c r="AI127" s="310" t="s">
        <v>397</v>
      </c>
      <c r="AJ127" s="309">
        <v>8.0050356860760872E-11</v>
      </c>
      <c r="AK127" s="321">
        <v>2</v>
      </c>
      <c r="AM127" s="316" t="s">
        <v>397</v>
      </c>
      <c r="AN127" s="337">
        <v>0.78336980306345738</v>
      </c>
      <c r="AO127" s="322">
        <v>3</v>
      </c>
      <c r="AQ127" s="310" t="s">
        <v>397</v>
      </c>
      <c r="AR127" s="327">
        <v>0</v>
      </c>
      <c r="AS127" s="321">
        <v>2</v>
      </c>
      <c r="AU127" s="310" t="s">
        <v>397</v>
      </c>
      <c r="AV127" s="334">
        <v>5.8955228344283177E-2</v>
      </c>
      <c r="AW127" s="321">
        <v>5</v>
      </c>
      <c r="AZ127" s="307">
        <f t="shared" si="11"/>
        <v>13</v>
      </c>
      <c r="BA127" s="307">
        <f t="shared" si="12"/>
        <v>12</v>
      </c>
      <c r="BB127" s="307">
        <f t="shared" si="13"/>
        <v>12</v>
      </c>
      <c r="BE127" t="s">
        <v>760</v>
      </c>
      <c r="BF127">
        <v>2019</v>
      </c>
      <c r="BG127">
        <f>BB43</f>
        <v>14</v>
      </c>
      <c r="BH127">
        <f t="shared" si="10"/>
        <v>1</v>
      </c>
    </row>
    <row r="128" spans="1:60" x14ac:dyDescent="0.2">
      <c r="A128" s="308" t="s">
        <v>857</v>
      </c>
      <c r="B128" s="309">
        <v>6.9504015435986677E-11</v>
      </c>
      <c r="C128" s="321">
        <v>2</v>
      </c>
      <c r="E128" s="308" t="s">
        <v>857</v>
      </c>
      <c r="F128" s="308">
        <v>-14.598540145985401</v>
      </c>
      <c r="G128" s="321">
        <v>2</v>
      </c>
      <c r="I128" s="314" t="s">
        <v>857</v>
      </c>
      <c r="J128" s="328">
        <v>9.6706578627571058E-4</v>
      </c>
      <c r="K128" s="322">
        <v>3</v>
      </c>
      <c r="M128" s="314" t="s">
        <v>857</v>
      </c>
      <c r="N128" s="337">
        <v>0.18406868615510263</v>
      </c>
      <c r="O128" s="316">
        <v>4</v>
      </c>
      <c r="R128" s="308" t="s">
        <v>857</v>
      </c>
      <c r="S128" s="309">
        <v>4.7850718230634947E-11</v>
      </c>
      <c r="T128" s="321">
        <v>2</v>
      </c>
      <c r="V128" s="310" t="s">
        <v>857</v>
      </c>
      <c r="W128" s="334">
        <v>-1.7226277372262773</v>
      </c>
      <c r="X128" s="310">
        <v>2</v>
      </c>
      <c r="Z128" s="313" t="s">
        <v>857</v>
      </c>
      <c r="AA128" s="340">
        <v>1.678384702571759E-3</v>
      </c>
      <c r="AB128" s="313">
        <v>4</v>
      </c>
      <c r="AD128" s="316" t="s">
        <v>857</v>
      </c>
      <c r="AE128" s="337">
        <v>0.18427160064740522</v>
      </c>
      <c r="AF128" s="322">
        <v>4</v>
      </c>
      <c r="AI128" s="310" t="s">
        <v>857</v>
      </c>
      <c r="AJ128" s="309">
        <v>9.10289546706179E-11</v>
      </c>
      <c r="AK128" s="321">
        <v>2</v>
      </c>
      <c r="AM128" s="310" t="s">
        <v>857</v>
      </c>
      <c r="AN128" s="334">
        <v>-3</v>
      </c>
      <c r="AO128" s="321">
        <v>2</v>
      </c>
      <c r="AQ128" s="313" t="s">
        <v>857</v>
      </c>
      <c r="AR128" s="329">
        <v>4.4499052997460592E-3</v>
      </c>
      <c r="AS128" s="323">
        <v>4</v>
      </c>
      <c r="AU128" s="310" t="s">
        <v>857</v>
      </c>
      <c r="AV128" s="334">
        <v>0.14692909102691246</v>
      </c>
      <c r="AW128" s="321">
        <v>5</v>
      </c>
      <c r="AZ128" s="307">
        <f t="shared" si="11"/>
        <v>11</v>
      </c>
      <c r="BA128" s="307">
        <f t="shared" si="12"/>
        <v>12</v>
      </c>
      <c r="BB128" s="307">
        <f t="shared" si="13"/>
        <v>13</v>
      </c>
      <c r="BE128" t="s">
        <v>256</v>
      </c>
      <c r="BF128">
        <v>2017</v>
      </c>
      <c r="BG128">
        <f>AZ44</f>
        <v>13</v>
      </c>
      <c r="BH128">
        <f t="shared" si="10"/>
        <v>1</v>
      </c>
    </row>
    <row r="129" spans="1:60" x14ac:dyDescent="0.2">
      <c r="A129" s="314" t="s">
        <v>502</v>
      </c>
      <c r="B129" s="315">
        <v>4.5224120234458978E-10</v>
      </c>
      <c r="C129" s="322">
        <v>3</v>
      </c>
      <c r="E129" s="308" t="s">
        <v>502</v>
      </c>
      <c r="F129" s="308">
        <v>0.53200568990042674</v>
      </c>
      <c r="G129" s="321">
        <v>2</v>
      </c>
      <c r="I129" s="311" t="s">
        <v>502</v>
      </c>
      <c r="J129" s="329">
        <v>1.8544298217280418E-3</v>
      </c>
      <c r="K129" s="323">
        <v>4</v>
      </c>
      <c r="M129" s="317" t="s">
        <v>502</v>
      </c>
      <c r="N129" s="336">
        <v>0.59773572868304992</v>
      </c>
      <c r="O129" s="319">
        <v>2</v>
      </c>
      <c r="R129" s="314" t="s">
        <v>502</v>
      </c>
      <c r="S129" s="315">
        <v>4.1088311028550685E-10</v>
      </c>
      <c r="T129" s="322">
        <v>3</v>
      </c>
      <c r="V129" s="310" t="s">
        <v>502</v>
      </c>
      <c r="W129" s="334">
        <v>0.50251256281407031</v>
      </c>
      <c r="X129" s="310">
        <v>2</v>
      </c>
      <c r="Z129" s="316" t="s">
        <v>502</v>
      </c>
      <c r="AA129" s="342">
        <v>5.5519156325991399E-4</v>
      </c>
      <c r="AB129" s="316">
        <v>3</v>
      </c>
      <c r="AD129" s="319" t="s">
        <v>502</v>
      </c>
      <c r="AE129" s="336">
        <v>0.59174192859670005</v>
      </c>
      <c r="AF129" s="324">
        <v>2</v>
      </c>
      <c r="AI129" s="313" t="s">
        <v>502</v>
      </c>
      <c r="AJ129" s="312">
        <v>4.4620332156323386E-10</v>
      </c>
      <c r="AK129" s="323">
        <v>4</v>
      </c>
      <c r="AM129" s="310" t="s">
        <v>502</v>
      </c>
      <c r="AN129" s="334">
        <v>0.49095607235142119</v>
      </c>
      <c r="AO129" s="321">
        <v>2</v>
      </c>
      <c r="AQ129" s="313" t="s">
        <v>502</v>
      </c>
      <c r="AR129" s="329">
        <v>2.4079665744358024E-3</v>
      </c>
      <c r="AS129" s="323">
        <v>4</v>
      </c>
      <c r="AU129" s="319" t="s">
        <v>502</v>
      </c>
      <c r="AV129" s="336">
        <v>0.62551458315762254</v>
      </c>
      <c r="AW129" s="357">
        <v>2</v>
      </c>
      <c r="AZ129" s="307">
        <f t="shared" si="11"/>
        <v>11</v>
      </c>
      <c r="BA129" s="307">
        <f t="shared" si="12"/>
        <v>10</v>
      </c>
      <c r="BB129" s="307">
        <f t="shared" si="13"/>
        <v>12</v>
      </c>
      <c r="BE129" t="s">
        <v>256</v>
      </c>
      <c r="BF129">
        <v>2018</v>
      </c>
      <c r="BG129">
        <f>BA44</f>
        <v>13</v>
      </c>
      <c r="BH129">
        <f t="shared" si="10"/>
        <v>1</v>
      </c>
    </row>
    <row r="130" spans="1:60" x14ac:dyDescent="0.2">
      <c r="A130" s="311" t="s">
        <v>219</v>
      </c>
      <c r="B130" s="312">
        <v>6.1000712484439209E-10</v>
      </c>
      <c r="C130" s="323">
        <v>4</v>
      </c>
      <c r="E130" s="311" t="s">
        <v>219</v>
      </c>
      <c r="F130" s="311">
        <v>1.5943312666076173</v>
      </c>
      <c r="G130" s="323">
        <v>4</v>
      </c>
      <c r="I130" s="317" t="s">
        <v>219</v>
      </c>
      <c r="J130" s="330">
        <v>0.1635758902200995</v>
      </c>
      <c r="K130" s="324">
        <v>5</v>
      </c>
      <c r="M130" s="314" t="s">
        <v>219</v>
      </c>
      <c r="N130" s="337">
        <v>0.26687368041418558</v>
      </c>
      <c r="O130" s="316">
        <v>4</v>
      </c>
      <c r="R130" s="311" t="s">
        <v>219</v>
      </c>
      <c r="S130" s="312">
        <v>5.7146432320070695E-10</v>
      </c>
      <c r="T130" s="323">
        <v>4</v>
      </c>
      <c r="V130" s="313" t="s">
        <v>219</v>
      </c>
      <c r="W130" s="335">
        <v>1.151615575807788</v>
      </c>
      <c r="X130" s="313">
        <v>4</v>
      </c>
      <c r="Z130" s="319" t="s">
        <v>219</v>
      </c>
      <c r="AA130" s="343">
        <v>0.16105471204232211</v>
      </c>
      <c r="AB130" s="319">
        <v>5</v>
      </c>
      <c r="AD130" s="316" t="s">
        <v>219</v>
      </c>
      <c r="AE130" s="337">
        <v>0.28861332672710044</v>
      </c>
      <c r="AF130" s="322">
        <v>4</v>
      </c>
      <c r="AI130" s="313" t="s">
        <v>219</v>
      </c>
      <c r="AJ130" s="312">
        <v>5.0118966336407245E-10</v>
      </c>
      <c r="AK130" s="323">
        <v>4</v>
      </c>
      <c r="AM130" s="316" t="s">
        <v>219</v>
      </c>
      <c r="AN130" s="337">
        <v>1.0847589424572317</v>
      </c>
      <c r="AO130" s="322">
        <v>3</v>
      </c>
      <c r="AQ130" s="319" t="s">
        <v>219</v>
      </c>
      <c r="AR130" s="330">
        <v>0.16281766731364414</v>
      </c>
      <c r="AS130" s="324">
        <v>5</v>
      </c>
      <c r="AU130" s="316" t="s">
        <v>219</v>
      </c>
      <c r="AV130" s="337">
        <v>0.28308602397256788</v>
      </c>
      <c r="AW130" s="322">
        <v>4</v>
      </c>
      <c r="AZ130" s="307">
        <f t="shared" ref="AZ130:AZ136" si="14">C130+G130+K130+O130</f>
        <v>17</v>
      </c>
      <c r="BA130" s="307">
        <f t="shared" ref="BA130:BA136" si="15">T130+X130+AB130+AF130</f>
        <v>17</v>
      </c>
      <c r="BB130" s="307">
        <f t="shared" ref="BB130:BB136" si="16">AK130+AO130+AS130+AW130</f>
        <v>16</v>
      </c>
      <c r="BE130" t="s">
        <v>256</v>
      </c>
      <c r="BF130">
        <v>2019</v>
      </c>
      <c r="BG130">
        <f>BB44</f>
        <v>13</v>
      </c>
      <c r="BH130">
        <f t="shared" ref="BH130:BH193" si="17">IF(BG130&gt;=BC$2,1,0)</f>
        <v>1</v>
      </c>
    </row>
    <row r="131" spans="1:60" x14ac:dyDescent="0.2">
      <c r="A131" s="308" t="s">
        <v>506</v>
      </c>
      <c r="B131" s="309">
        <v>1.4645252418199747E-10</v>
      </c>
      <c r="C131" s="321">
        <v>2</v>
      </c>
      <c r="E131" s="308" t="s">
        <v>506</v>
      </c>
      <c r="F131" s="308">
        <v>0.61499730264340946</v>
      </c>
      <c r="G131" s="321">
        <v>2</v>
      </c>
      <c r="I131" s="308" t="s">
        <v>506</v>
      </c>
      <c r="J131" s="327">
        <v>0</v>
      </c>
      <c r="K131" s="321">
        <v>2</v>
      </c>
      <c r="M131" s="308" t="s">
        <v>506</v>
      </c>
      <c r="N131" s="334">
        <v>0.15072429814127075</v>
      </c>
      <c r="O131" s="310">
        <v>5</v>
      </c>
      <c r="R131" s="308" t="s">
        <v>506</v>
      </c>
      <c r="S131" s="309">
        <v>1.2261940597327748E-10</v>
      </c>
      <c r="T131" s="321">
        <v>2</v>
      </c>
      <c r="V131" s="310" t="s">
        <v>506</v>
      </c>
      <c r="W131" s="334">
        <v>0.61816452686638135</v>
      </c>
      <c r="X131" s="310">
        <v>2</v>
      </c>
      <c r="Z131" s="310" t="s">
        <v>506</v>
      </c>
      <c r="AA131" s="341">
        <v>0</v>
      </c>
      <c r="AB131" s="310">
        <v>2</v>
      </c>
      <c r="AD131" s="310" t="s">
        <v>506</v>
      </c>
      <c r="AE131" s="334">
        <v>0.12240440128206211</v>
      </c>
      <c r="AF131" s="321">
        <v>5</v>
      </c>
      <c r="AI131" s="310" t="s">
        <v>506</v>
      </c>
      <c r="AJ131" s="309">
        <v>1.4369020409355207E-10</v>
      </c>
      <c r="AK131" s="321">
        <v>2</v>
      </c>
      <c r="AM131" s="316" t="s">
        <v>506</v>
      </c>
      <c r="AN131" s="337">
        <v>0.60062402496099843</v>
      </c>
      <c r="AO131" s="322">
        <v>3</v>
      </c>
      <c r="AQ131" s="310" t="s">
        <v>506</v>
      </c>
      <c r="AR131" s="327">
        <v>0</v>
      </c>
      <c r="AS131" s="321">
        <v>2</v>
      </c>
      <c r="AU131" s="310" t="s">
        <v>506</v>
      </c>
      <c r="AV131" s="334">
        <v>0.11629731948847361</v>
      </c>
      <c r="AW131" s="321">
        <v>5</v>
      </c>
      <c r="AZ131" s="307">
        <f t="shared" si="14"/>
        <v>11</v>
      </c>
      <c r="BA131" s="307">
        <f t="shared" si="15"/>
        <v>11</v>
      </c>
      <c r="BB131" s="307">
        <f t="shared" si="16"/>
        <v>12</v>
      </c>
      <c r="BE131" t="s">
        <v>444</v>
      </c>
      <c r="BF131">
        <v>2017</v>
      </c>
      <c r="BG131">
        <f>AZ45</f>
        <v>12</v>
      </c>
      <c r="BH131">
        <f t="shared" si="17"/>
        <v>0</v>
      </c>
    </row>
    <row r="132" spans="1:60" x14ac:dyDescent="0.2">
      <c r="A132" s="317" t="s">
        <v>131</v>
      </c>
      <c r="B132" s="318">
        <v>5.8385836948944624E-9</v>
      </c>
      <c r="C132" s="324">
        <v>5</v>
      </c>
      <c r="E132" s="308" t="s">
        <v>131</v>
      </c>
      <c r="F132" s="308">
        <v>-0.87165775401069523</v>
      </c>
      <c r="G132" s="321">
        <v>2</v>
      </c>
      <c r="I132" s="308" t="s">
        <v>131</v>
      </c>
      <c r="J132" s="327">
        <v>0</v>
      </c>
      <c r="K132" s="321">
        <v>2</v>
      </c>
      <c r="M132" s="311" t="s">
        <v>131</v>
      </c>
      <c r="N132" s="335">
        <v>0.43941908062176932</v>
      </c>
      <c r="O132" s="313">
        <v>3</v>
      </c>
      <c r="R132" s="317" t="s">
        <v>131</v>
      </c>
      <c r="S132" s="318">
        <v>4.3610131978030987E-9</v>
      </c>
      <c r="T132" s="324">
        <v>5</v>
      </c>
      <c r="V132" s="310" t="s">
        <v>131</v>
      </c>
      <c r="W132" s="334">
        <v>-0.18673647469458987</v>
      </c>
      <c r="X132" s="310">
        <v>2</v>
      </c>
      <c r="Z132" s="310" t="s">
        <v>131</v>
      </c>
      <c r="AA132" s="341">
        <v>0</v>
      </c>
      <c r="AB132" s="310">
        <v>2</v>
      </c>
      <c r="AD132" s="313" t="s">
        <v>131</v>
      </c>
      <c r="AE132" s="335">
        <v>0.55677415835377653</v>
      </c>
      <c r="AF132" s="323">
        <v>3</v>
      </c>
      <c r="AI132" s="319" t="s">
        <v>131</v>
      </c>
      <c r="AJ132" s="318">
        <v>4.0100462848856639E-9</v>
      </c>
      <c r="AK132" s="324">
        <v>5</v>
      </c>
      <c r="AM132" s="310" t="s">
        <v>131</v>
      </c>
      <c r="AN132" s="334">
        <v>-4.6372819100091826E-2</v>
      </c>
      <c r="AO132" s="321">
        <v>2</v>
      </c>
      <c r="AQ132" s="310" t="s">
        <v>131</v>
      </c>
      <c r="AR132" s="327">
        <v>0</v>
      </c>
      <c r="AS132" s="321">
        <v>2</v>
      </c>
      <c r="AU132" s="319" t="s">
        <v>131</v>
      </c>
      <c r="AV132" s="336">
        <v>0.74343661836349217</v>
      </c>
      <c r="AW132" s="357">
        <v>2</v>
      </c>
      <c r="AZ132" s="307">
        <f t="shared" si="14"/>
        <v>12</v>
      </c>
      <c r="BA132" s="307">
        <f t="shared" si="15"/>
        <v>12</v>
      </c>
      <c r="BB132" s="307">
        <f t="shared" si="16"/>
        <v>11</v>
      </c>
      <c r="BE132" t="s">
        <v>444</v>
      </c>
      <c r="BF132">
        <v>2018</v>
      </c>
      <c r="BG132">
        <f>BA45</f>
        <v>12</v>
      </c>
      <c r="BH132">
        <f t="shared" si="17"/>
        <v>0</v>
      </c>
    </row>
    <row r="133" spans="1:60" x14ac:dyDescent="0.2">
      <c r="A133" s="314" t="s">
        <v>860</v>
      </c>
      <c r="B133" s="315">
        <v>4.5727019806501954E-10</v>
      </c>
      <c r="C133" s="322">
        <v>3</v>
      </c>
      <c r="E133" s="311" t="s">
        <v>860</v>
      </c>
      <c r="F133" s="311">
        <v>2.7777777777777777</v>
      </c>
      <c r="G133" s="323">
        <v>4</v>
      </c>
      <c r="I133" s="314" t="s">
        <v>860</v>
      </c>
      <c r="J133" s="328">
        <v>6.6972634916626301E-4</v>
      </c>
      <c r="K133" s="322">
        <v>3</v>
      </c>
      <c r="M133" s="314" t="s">
        <v>860</v>
      </c>
      <c r="N133" s="337">
        <v>0.19905707966851754</v>
      </c>
      <c r="O133" s="316">
        <v>4</v>
      </c>
      <c r="R133" s="314" t="s">
        <v>860</v>
      </c>
      <c r="S133" s="315">
        <v>3.924030105950231E-10</v>
      </c>
      <c r="T133" s="322">
        <v>3</v>
      </c>
      <c r="V133" s="313" t="s">
        <v>860</v>
      </c>
      <c r="W133" s="335">
        <v>1.7882829867922061</v>
      </c>
      <c r="X133" s="313">
        <v>4</v>
      </c>
      <c r="Z133" s="316" t="s">
        <v>860</v>
      </c>
      <c r="AA133" s="342">
        <v>8.0338215070055224E-4</v>
      </c>
      <c r="AB133" s="316">
        <v>3</v>
      </c>
      <c r="AD133" s="316" t="s">
        <v>860</v>
      </c>
      <c r="AE133" s="337">
        <v>0.2114235980581422</v>
      </c>
      <c r="AF133" s="322">
        <v>4</v>
      </c>
      <c r="AI133" s="316" t="s">
        <v>860</v>
      </c>
      <c r="AJ133" s="315">
        <v>3.925004427903393E-10</v>
      </c>
      <c r="AK133" s="322">
        <v>3</v>
      </c>
      <c r="AM133" s="313" t="s">
        <v>860</v>
      </c>
      <c r="AN133" s="335">
        <v>1.3139421316078623</v>
      </c>
      <c r="AO133" s="323">
        <v>4</v>
      </c>
      <c r="AQ133" s="316" t="s">
        <v>860</v>
      </c>
      <c r="AR133" s="328">
        <v>5.5584193186730506E-4</v>
      </c>
      <c r="AS133" s="322">
        <v>3</v>
      </c>
      <c r="AU133" s="316" t="s">
        <v>860</v>
      </c>
      <c r="AV133" s="337">
        <v>0.245888238539029</v>
      </c>
      <c r="AW133" s="322">
        <v>4</v>
      </c>
      <c r="AZ133" s="307">
        <f t="shared" si="14"/>
        <v>14</v>
      </c>
      <c r="BA133" s="307">
        <f t="shared" si="15"/>
        <v>14</v>
      </c>
      <c r="BB133" s="307">
        <f t="shared" si="16"/>
        <v>14</v>
      </c>
      <c r="BE133" t="s">
        <v>444</v>
      </c>
      <c r="BF133">
        <v>2019</v>
      </c>
      <c r="BG133">
        <f>BB45</f>
        <v>12</v>
      </c>
      <c r="BH133">
        <f t="shared" si="17"/>
        <v>0</v>
      </c>
    </row>
    <row r="134" spans="1:60" x14ac:dyDescent="0.2">
      <c r="A134" s="308" t="s">
        <v>223</v>
      </c>
      <c r="B134" s="309">
        <v>1.4580928155680045E-10</v>
      </c>
      <c r="C134" s="321">
        <v>2</v>
      </c>
      <c r="E134" s="317" t="s">
        <v>223</v>
      </c>
      <c r="F134" s="317">
        <v>82.81481481481481</v>
      </c>
      <c r="G134" s="324">
        <v>5</v>
      </c>
      <c r="I134" s="317" t="s">
        <v>223</v>
      </c>
      <c r="J134" s="330">
        <v>6.4731579140244605E-2</v>
      </c>
      <c r="K134" s="324">
        <v>5</v>
      </c>
      <c r="M134" s="311" t="s">
        <v>223</v>
      </c>
      <c r="N134" s="335">
        <v>0.55124856311982606</v>
      </c>
      <c r="O134" s="313">
        <v>3</v>
      </c>
      <c r="R134" s="308" t="s">
        <v>223</v>
      </c>
      <c r="S134" s="309">
        <v>1.3705061947525903E-10</v>
      </c>
      <c r="T134" s="321">
        <v>2</v>
      </c>
      <c r="V134" s="319" t="s">
        <v>223</v>
      </c>
      <c r="W134" s="336">
        <v>45.858585858585862</v>
      </c>
      <c r="X134" s="319">
        <v>5</v>
      </c>
      <c r="Z134" s="319" t="s">
        <v>223</v>
      </c>
      <c r="AA134" s="343">
        <v>5.9222421816257774E-2</v>
      </c>
      <c r="AB134" s="319">
        <v>5</v>
      </c>
      <c r="AD134" s="319" t="s">
        <v>223</v>
      </c>
      <c r="AE134" s="336">
        <v>0.88055539835705798</v>
      </c>
      <c r="AF134" s="324">
        <v>2</v>
      </c>
      <c r="AI134" s="310" t="s">
        <v>223</v>
      </c>
      <c r="AJ134" s="309">
        <v>1.2657678433601462E-10</v>
      </c>
      <c r="AK134" s="321">
        <v>2</v>
      </c>
      <c r="AM134" s="319" t="s">
        <v>223</v>
      </c>
      <c r="AN134" s="336">
        <v>60.869565217391305</v>
      </c>
      <c r="AO134" s="324">
        <v>5</v>
      </c>
      <c r="AQ134" s="319" t="s">
        <v>223</v>
      </c>
      <c r="AR134" s="330">
        <v>5.3312380250918383E-2</v>
      </c>
      <c r="AS134" s="324">
        <v>5</v>
      </c>
      <c r="AU134" s="319" t="s">
        <v>223</v>
      </c>
      <c r="AV134" s="336">
        <v>0.88417718338511553</v>
      </c>
      <c r="AW134" s="357">
        <v>2</v>
      </c>
      <c r="AZ134" s="307">
        <f t="shared" si="14"/>
        <v>15</v>
      </c>
      <c r="BA134" s="307">
        <f t="shared" si="15"/>
        <v>14</v>
      </c>
      <c r="BB134" s="307">
        <f t="shared" si="16"/>
        <v>14</v>
      </c>
      <c r="BE134" t="s">
        <v>531</v>
      </c>
      <c r="BF134">
        <v>2017</v>
      </c>
      <c r="BG134">
        <f>AZ46</f>
        <v>13</v>
      </c>
      <c r="BH134">
        <f t="shared" si="17"/>
        <v>1</v>
      </c>
    </row>
    <row r="135" spans="1:60" x14ac:dyDescent="0.2">
      <c r="A135" s="311" t="s">
        <v>595</v>
      </c>
      <c r="B135" s="312">
        <v>5.6413696942995564E-10</v>
      </c>
      <c r="C135" s="323">
        <v>4</v>
      </c>
      <c r="E135" s="311" t="s">
        <v>595</v>
      </c>
      <c r="F135" s="311">
        <v>1.6</v>
      </c>
      <c r="G135" s="323">
        <v>4</v>
      </c>
      <c r="I135" s="308" t="s">
        <v>595</v>
      </c>
      <c r="J135" s="327">
        <v>0</v>
      </c>
      <c r="K135" s="321">
        <v>2</v>
      </c>
      <c r="M135" s="308" t="s">
        <v>595</v>
      </c>
      <c r="N135" s="334">
        <v>0.14485664447816649</v>
      </c>
      <c r="O135" s="310">
        <v>5</v>
      </c>
      <c r="R135" s="311" t="s">
        <v>595</v>
      </c>
      <c r="S135" s="312">
        <v>4.861386636559777E-10</v>
      </c>
      <c r="T135" s="323">
        <v>4</v>
      </c>
      <c r="V135" s="313" t="s">
        <v>595</v>
      </c>
      <c r="W135" s="335">
        <v>1.3513513513513513</v>
      </c>
      <c r="X135" s="313">
        <v>4</v>
      </c>
      <c r="Z135" s="310" t="s">
        <v>595</v>
      </c>
      <c r="AA135" s="341">
        <v>0</v>
      </c>
      <c r="AB135" s="310">
        <v>2</v>
      </c>
      <c r="AD135" s="316" t="s">
        <v>595</v>
      </c>
      <c r="AE135" s="337">
        <v>0.174105367324764</v>
      </c>
      <c r="AF135" s="322">
        <v>4</v>
      </c>
      <c r="AI135" s="313" t="s">
        <v>595</v>
      </c>
      <c r="AJ135" s="312">
        <v>4.955638634123072E-10</v>
      </c>
      <c r="AK135" s="323">
        <v>4</v>
      </c>
      <c r="AM135" s="313" t="s">
        <v>595</v>
      </c>
      <c r="AN135" s="335">
        <v>1.5056179775280898</v>
      </c>
      <c r="AO135" s="323">
        <v>4</v>
      </c>
      <c r="AQ135" s="310" t="s">
        <v>595</v>
      </c>
      <c r="AR135" s="327">
        <v>0</v>
      </c>
      <c r="AS135" s="321">
        <v>2</v>
      </c>
      <c r="AU135" s="316" t="s">
        <v>595</v>
      </c>
      <c r="AV135" s="337">
        <v>0.18668624763485714</v>
      </c>
      <c r="AW135" s="322">
        <v>4</v>
      </c>
      <c r="AZ135" s="307">
        <f t="shared" si="14"/>
        <v>15</v>
      </c>
      <c r="BA135" s="307">
        <f t="shared" si="15"/>
        <v>14</v>
      </c>
      <c r="BB135" s="307">
        <f t="shared" si="16"/>
        <v>14</v>
      </c>
      <c r="BE135" t="s">
        <v>531</v>
      </c>
      <c r="BF135">
        <v>2018</v>
      </c>
      <c r="BG135">
        <f>BA46</f>
        <v>13</v>
      </c>
      <c r="BH135">
        <f t="shared" si="17"/>
        <v>1</v>
      </c>
    </row>
    <row r="136" spans="1:60" x14ac:dyDescent="0.2">
      <c r="A136" s="308" t="s">
        <v>337</v>
      </c>
      <c r="B136" s="309">
        <v>2.2243877675583533E-10</v>
      </c>
      <c r="C136" s="321">
        <v>2</v>
      </c>
      <c r="E136" s="308" t="s">
        <v>337</v>
      </c>
      <c r="F136" s="308">
        <v>0.46081504702194359</v>
      </c>
      <c r="G136" s="321">
        <v>2</v>
      </c>
      <c r="I136" s="308" t="s">
        <v>337</v>
      </c>
      <c r="J136" s="327">
        <v>0</v>
      </c>
      <c r="K136" s="321">
        <v>2</v>
      </c>
      <c r="M136" s="317" t="s">
        <v>337</v>
      </c>
      <c r="N136" s="336">
        <v>0.8322713942202753</v>
      </c>
      <c r="O136" s="319">
        <v>2</v>
      </c>
      <c r="R136" s="314" t="s">
        <v>337</v>
      </c>
      <c r="S136" s="315">
        <v>2.2750078331981665E-10</v>
      </c>
      <c r="T136" s="322">
        <v>3</v>
      </c>
      <c r="V136" s="310" t="s">
        <v>337</v>
      </c>
      <c r="W136" s="334">
        <v>0.37542662116040953</v>
      </c>
      <c r="X136" s="310">
        <v>2</v>
      </c>
      <c r="Z136" s="310" t="s">
        <v>337</v>
      </c>
      <c r="AA136" s="341">
        <v>0</v>
      </c>
      <c r="AB136" s="310">
        <v>2</v>
      </c>
      <c r="AD136" s="319" t="s">
        <v>337</v>
      </c>
      <c r="AE136" s="336">
        <v>0.79983107790871055</v>
      </c>
      <c r="AF136" s="324">
        <v>2</v>
      </c>
      <c r="AI136" s="316" t="s">
        <v>337</v>
      </c>
      <c r="AJ136" s="315">
        <v>2.1393247998301138E-10</v>
      </c>
      <c r="AK136" s="322">
        <v>3</v>
      </c>
      <c r="AM136" s="310" t="s">
        <v>337</v>
      </c>
      <c r="AN136" s="334">
        <v>0.23529411764705882</v>
      </c>
      <c r="AO136" s="321">
        <v>2</v>
      </c>
      <c r="AQ136" s="310" t="s">
        <v>337</v>
      </c>
      <c r="AR136" s="327">
        <v>0</v>
      </c>
      <c r="AS136" s="321">
        <v>2</v>
      </c>
      <c r="AU136" s="319" t="s">
        <v>337</v>
      </c>
      <c r="AV136" s="336">
        <v>0.77273659706214559</v>
      </c>
      <c r="AW136" s="357">
        <v>2</v>
      </c>
      <c r="AZ136" s="307">
        <f t="shared" si="14"/>
        <v>8</v>
      </c>
      <c r="BA136" s="307">
        <f t="shared" si="15"/>
        <v>9</v>
      </c>
      <c r="BB136" s="307">
        <f t="shared" si="16"/>
        <v>9</v>
      </c>
      <c r="BE136" t="s">
        <v>531</v>
      </c>
      <c r="BF136">
        <v>2019</v>
      </c>
      <c r="BG136">
        <f>BB46</f>
        <v>14</v>
      </c>
      <c r="BH136">
        <f t="shared" si="17"/>
        <v>1</v>
      </c>
    </row>
    <row r="137" spans="1:60" x14ac:dyDescent="0.2">
      <c r="O137" s="338"/>
      <c r="BE137" t="s">
        <v>362</v>
      </c>
      <c r="BF137">
        <v>2017</v>
      </c>
      <c r="BG137">
        <f>AZ47</f>
        <v>14</v>
      </c>
      <c r="BH137">
        <f t="shared" si="17"/>
        <v>1</v>
      </c>
    </row>
    <row r="138" spans="1:60" x14ac:dyDescent="0.2">
      <c r="A138" s="317" t="s">
        <v>1040</v>
      </c>
      <c r="B138" s="306">
        <f>_xlfn.QUARTILE.EXC(B$2:B$136,1)</f>
        <v>2.2829841191388206E-10</v>
      </c>
      <c r="E138" s="302" t="s">
        <v>1040</v>
      </c>
      <c r="F138" s="301">
        <f>_xlfn.QUARTILE.EXC(F$2:F$136,1)</f>
        <v>0.6933019976498237</v>
      </c>
      <c r="I138" s="302" t="s">
        <v>1040</v>
      </c>
      <c r="J138" s="325">
        <f>_xlfn.QUARTILE.EXC(J$2:J$136,1)</f>
        <v>0</v>
      </c>
      <c r="M138" s="302" t="s">
        <v>1040</v>
      </c>
      <c r="N138" s="304">
        <f>_xlfn.QUARTILE.EXC(N$2:N$136,1)</f>
        <v>0.16794916400436419</v>
      </c>
      <c r="R138" s="333" t="s">
        <v>1040</v>
      </c>
      <c r="S138" s="305">
        <f>_xlfn.QUARTILE.EXC(S$2:S$136,1)</f>
        <v>2.0583553846880956E-10</v>
      </c>
      <c r="V138" s="320" t="s">
        <v>1040</v>
      </c>
      <c r="W138" s="303">
        <f>_xlfn.QUARTILE.EXC(W$2:W$136,1)</f>
        <v>0.62116564417177911</v>
      </c>
      <c r="Z138" s="320" t="s">
        <v>1040</v>
      </c>
      <c r="AA138" s="339">
        <f>_xlfn.QUARTILE.EXC(AA$2:AA$136,1)</f>
        <v>0</v>
      </c>
      <c r="AD138" s="320" t="s">
        <v>1040</v>
      </c>
      <c r="AE138" s="304">
        <f>_xlfn.QUARTILE.EXC(AE$2:AE$136,1)</f>
        <v>0.17111346421972118</v>
      </c>
      <c r="AI138" s="320" t="s">
        <v>1040</v>
      </c>
      <c r="AJ138" s="305">
        <f>_xlfn.QUARTILE.EXC(AJ$2:AJ136,1)</f>
        <v>1.9394359042941677E-10</v>
      </c>
      <c r="AM138" s="320" t="s">
        <v>1040</v>
      </c>
      <c r="AN138" s="353">
        <f>_xlfn.QUARTILE.EXC(AN$2:AN$136,1)</f>
        <v>0.51303268514687628</v>
      </c>
      <c r="AQ138" s="320" t="s">
        <v>1040</v>
      </c>
      <c r="AR138" s="326">
        <f>_xlfn.QUARTILE.EXC(AR$2:AR$136,1)</f>
        <v>0</v>
      </c>
      <c r="AU138" s="320" t="s">
        <v>1040</v>
      </c>
      <c r="AV138" s="303">
        <f>_xlfn.QUARTILE.EXC(AV$2:AV$136,1)</f>
        <v>0.17687372079493241</v>
      </c>
      <c r="BE138" t="s">
        <v>362</v>
      </c>
      <c r="BF138">
        <v>2018</v>
      </c>
      <c r="BG138">
        <f>BA47</f>
        <v>14</v>
      </c>
      <c r="BH138">
        <f t="shared" si="17"/>
        <v>1</v>
      </c>
    </row>
    <row r="139" spans="1:60" x14ac:dyDescent="0.2">
      <c r="A139" s="317" t="s">
        <v>1041</v>
      </c>
      <c r="B139" s="306">
        <f>_xlfn.QUARTILE.EXC(B$2:B$136,2)</f>
        <v>4.77365916724463E-10</v>
      </c>
      <c r="E139" s="302" t="s">
        <v>1041</v>
      </c>
      <c r="F139" s="301">
        <f>_xlfn.QUARTILE.EXC(F$2:F$136,2)</f>
        <v>1.1960478419136766</v>
      </c>
      <c r="I139" s="302" t="s">
        <v>1041</v>
      </c>
      <c r="J139" s="325">
        <f>_xlfn.QUARTILE.EXC(J$2:J$136,2)</f>
        <v>9.6706578627571058E-4</v>
      </c>
      <c r="M139" s="333" t="s">
        <v>1041</v>
      </c>
      <c r="N139" s="304">
        <f>_xlfn.QUARTILE.EXC(N$2:N$136,2)</f>
        <v>0.32068000970042959</v>
      </c>
      <c r="R139" s="333" t="s">
        <v>1041</v>
      </c>
      <c r="S139" s="305">
        <f>_xlfn.QUARTILE.EXC(S$2:S$136,2)</f>
        <v>4.5016077860874165E-10</v>
      </c>
      <c r="V139" s="320" t="s">
        <v>1041</v>
      </c>
      <c r="W139" s="303">
        <f>_xlfn.QUARTILE.EXC(W$2:W$136,2)</f>
        <v>1.1272321428571428</v>
      </c>
      <c r="Z139" s="320" t="s">
        <v>1041</v>
      </c>
      <c r="AA139" s="339">
        <f>_xlfn.QUARTILE.EXC(AA$2:AA$136,2)</f>
        <v>8.0338215070055224E-4</v>
      </c>
      <c r="AD139" s="320" t="s">
        <v>1041</v>
      </c>
      <c r="AE139" s="304">
        <f>_xlfn.QUARTILE.EXC(AE$2:AE$136,2)</f>
        <v>0.29831258912394393</v>
      </c>
      <c r="AI139" s="320" t="s">
        <v>1041</v>
      </c>
      <c r="AJ139" s="305">
        <f>_xlfn.QUARTILE.EXC(AJ$2:AJ136,2)</f>
        <v>4.2106293331973379E-10</v>
      </c>
      <c r="AM139" s="320" t="s">
        <v>1041</v>
      </c>
      <c r="AN139" s="353">
        <f>_xlfn.QUARTILE.EXC(AN$2:AN$136,2)</f>
        <v>1.1666666666666667</v>
      </c>
      <c r="AQ139" s="320" t="s">
        <v>1041</v>
      </c>
      <c r="AR139" s="326">
        <f>_xlfn.QUARTILE.EXC(AR$2:AR$136,2)</f>
        <v>1.4150377988597618E-3</v>
      </c>
      <c r="AU139" s="320" t="s">
        <v>1041</v>
      </c>
      <c r="AV139" s="303">
        <f>_xlfn.QUARTILE.EXC(AV$2:AV$136,2)</f>
        <v>0.29992489293609859</v>
      </c>
      <c r="BE139" t="s">
        <v>362</v>
      </c>
      <c r="BF139">
        <v>2019</v>
      </c>
      <c r="BG139">
        <f>BB47</f>
        <v>14</v>
      </c>
      <c r="BH139">
        <f t="shared" si="17"/>
        <v>1</v>
      </c>
    </row>
    <row r="140" spans="1:60" x14ac:dyDescent="0.2">
      <c r="A140" s="317" t="s">
        <v>1042</v>
      </c>
      <c r="B140" s="306">
        <f>_xlfn.QUARTILE.EXC(B$2:B$136,3)</f>
        <v>1.0579879307929627E-9</v>
      </c>
      <c r="E140" s="302" t="s">
        <v>1042</v>
      </c>
      <c r="F140" s="301">
        <f>_xlfn.QUARTILE.EXC(F$2:F$136,3)</f>
        <v>2.7777777777777777</v>
      </c>
      <c r="I140" s="302" t="s">
        <v>1042</v>
      </c>
      <c r="J140" s="325">
        <f>_xlfn.QUARTILE.EXC(J$2:J$136,3)</f>
        <v>1.3129669135819047E-2</v>
      </c>
      <c r="M140" s="333" t="s">
        <v>1042</v>
      </c>
      <c r="N140" s="304">
        <f>_xlfn.QUARTILE.EXC(N$2:N$136,3)</f>
        <v>0.55863363568850821</v>
      </c>
      <c r="R140" s="333" t="s">
        <v>1042</v>
      </c>
      <c r="S140" s="305">
        <f>_xlfn.QUARTILE.EXC(S$2:S$136,3)</f>
        <v>8.9906722108406207E-10</v>
      </c>
      <c r="V140" s="320" t="s">
        <v>1042</v>
      </c>
      <c r="W140" s="303">
        <f>_xlfn.QUARTILE.EXC(W$2:W$136,3)</f>
        <v>2.3982152816508644</v>
      </c>
      <c r="Z140" s="320" t="s">
        <v>1042</v>
      </c>
      <c r="AA140" s="339">
        <f>_xlfn.QUARTILE.EXC(AA$2:AA$136,3)</f>
        <v>1.055828303090204E-2</v>
      </c>
      <c r="AD140" s="320" t="s">
        <v>1042</v>
      </c>
      <c r="AE140" s="304">
        <f>_xlfn.QUARTILE.EXC(AE$2:AE$136,3)</f>
        <v>0.55677415835377653</v>
      </c>
      <c r="AI140" s="320" t="s">
        <v>1042</v>
      </c>
      <c r="AJ140" s="305">
        <f>_xlfn.QUARTILE.EXC(AJ$2:AJ138,3)</f>
        <v>8.7327258554190118E-10</v>
      </c>
      <c r="AM140" s="320" t="s">
        <v>1042</v>
      </c>
      <c r="AN140" s="353">
        <f>_xlfn.QUARTILE.EXC(AN$2:AN$136,3)</f>
        <v>2.1004726063364259</v>
      </c>
      <c r="AQ140" s="320" t="s">
        <v>1042</v>
      </c>
      <c r="AR140" s="326">
        <f>_xlfn.QUARTILE.EXC(AR$2:AR$136,3)</f>
        <v>9.9094351675558332E-3</v>
      </c>
      <c r="AU140" s="320" t="s">
        <v>1042</v>
      </c>
      <c r="AV140" s="303">
        <f>_xlfn.QUARTILE.EXC(AV$2:AV$136,3)</f>
        <v>0.56717430912957945</v>
      </c>
      <c r="BE140" t="s">
        <v>154</v>
      </c>
      <c r="BF140">
        <v>2017</v>
      </c>
      <c r="BG140">
        <f>AZ48</f>
        <v>17</v>
      </c>
      <c r="BH140">
        <f t="shared" si="17"/>
        <v>1</v>
      </c>
    </row>
    <row r="141" spans="1:60" x14ac:dyDescent="0.2">
      <c r="BE141" t="s">
        <v>154</v>
      </c>
      <c r="BF141">
        <v>2018</v>
      </c>
      <c r="BG141">
        <f>BA48</f>
        <v>16</v>
      </c>
      <c r="BH141">
        <f t="shared" si="17"/>
        <v>1</v>
      </c>
    </row>
    <row r="142" spans="1:60" x14ac:dyDescent="0.2">
      <c r="BE142" t="s">
        <v>154</v>
      </c>
      <c r="BF142">
        <v>2019</v>
      </c>
      <c r="BG142">
        <f>BB48</f>
        <v>15</v>
      </c>
      <c r="BH142">
        <f t="shared" si="17"/>
        <v>1</v>
      </c>
    </row>
    <row r="143" spans="1:60" x14ac:dyDescent="0.2">
      <c r="BE143" t="s">
        <v>264</v>
      </c>
      <c r="BF143">
        <v>2017</v>
      </c>
      <c r="BG143">
        <f>AZ49</f>
        <v>13</v>
      </c>
      <c r="BH143">
        <f t="shared" si="17"/>
        <v>1</v>
      </c>
    </row>
    <row r="144" spans="1:60" x14ac:dyDescent="0.2">
      <c r="BE144" t="s">
        <v>264</v>
      </c>
      <c r="BF144">
        <v>2018</v>
      </c>
      <c r="BG144">
        <f>BA49</f>
        <v>13</v>
      </c>
      <c r="BH144">
        <f t="shared" si="17"/>
        <v>1</v>
      </c>
    </row>
    <row r="145" spans="57:60" x14ac:dyDescent="0.2">
      <c r="BE145" t="s">
        <v>264</v>
      </c>
      <c r="BF145">
        <v>2019</v>
      </c>
      <c r="BG145">
        <f>BB49</f>
        <v>15</v>
      </c>
      <c r="BH145">
        <f t="shared" si="17"/>
        <v>1</v>
      </c>
    </row>
    <row r="146" spans="57:60" x14ac:dyDescent="0.2">
      <c r="BE146" t="s">
        <v>536</v>
      </c>
      <c r="BF146">
        <v>2017</v>
      </c>
      <c r="BG146">
        <f>AZ50</f>
        <v>14</v>
      </c>
      <c r="BH146">
        <f t="shared" si="17"/>
        <v>1</v>
      </c>
    </row>
    <row r="147" spans="57:60" x14ac:dyDescent="0.2">
      <c r="BE147" t="s">
        <v>536</v>
      </c>
      <c r="BF147">
        <v>2018</v>
      </c>
      <c r="BG147">
        <f>BA50</f>
        <v>14</v>
      </c>
      <c r="BH147">
        <f t="shared" si="17"/>
        <v>1</v>
      </c>
    </row>
    <row r="148" spans="57:60" x14ac:dyDescent="0.2">
      <c r="BE148" t="s">
        <v>536</v>
      </c>
      <c r="BF148">
        <v>2019</v>
      </c>
      <c r="BG148">
        <f>BB50</f>
        <v>14</v>
      </c>
      <c r="BH148">
        <f t="shared" si="17"/>
        <v>1</v>
      </c>
    </row>
    <row r="149" spans="57:60" x14ac:dyDescent="0.2">
      <c r="BE149" t="s">
        <v>540</v>
      </c>
      <c r="BF149">
        <v>2017</v>
      </c>
      <c r="BG149">
        <f>AZ51</f>
        <v>14</v>
      </c>
      <c r="BH149">
        <f t="shared" si="17"/>
        <v>1</v>
      </c>
    </row>
    <row r="150" spans="57:60" x14ac:dyDescent="0.2">
      <c r="BE150" t="s">
        <v>540</v>
      </c>
      <c r="BF150">
        <v>2018</v>
      </c>
      <c r="BG150">
        <f>BA51</f>
        <v>14</v>
      </c>
      <c r="BH150">
        <f t="shared" si="17"/>
        <v>1</v>
      </c>
    </row>
    <row r="151" spans="57:60" x14ac:dyDescent="0.2">
      <c r="BE151" t="s">
        <v>540</v>
      </c>
      <c r="BF151">
        <v>2019</v>
      </c>
      <c r="BG151">
        <f>BB51</f>
        <v>14</v>
      </c>
      <c r="BH151">
        <f t="shared" si="17"/>
        <v>1</v>
      </c>
    </row>
    <row r="152" spans="57:60" x14ac:dyDescent="0.2">
      <c r="BE152" t="s">
        <v>542</v>
      </c>
      <c r="BF152">
        <v>2017</v>
      </c>
      <c r="BG152">
        <f>AZ52</f>
        <v>17</v>
      </c>
      <c r="BH152">
        <f t="shared" si="17"/>
        <v>1</v>
      </c>
    </row>
    <row r="153" spans="57:60" x14ac:dyDescent="0.2">
      <c r="BE153" t="s">
        <v>542</v>
      </c>
      <c r="BF153">
        <v>2018</v>
      </c>
      <c r="BG153">
        <f>BA52</f>
        <v>15</v>
      </c>
      <c r="BH153">
        <f t="shared" si="17"/>
        <v>1</v>
      </c>
    </row>
    <row r="154" spans="57:60" x14ac:dyDescent="0.2">
      <c r="BE154" t="s">
        <v>542</v>
      </c>
      <c r="BF154">
        <v>2019</v>
      </c>
      <c r="BG154">
        <f>BB52</f>
        <v>16</v>
      </c>
      <c r="BH154">
        <f t="shared" si="17"/>
        <v>1</v>
      </c>
    </row>
    <row r="155" spans="57:60" x14ac:dyDescent="0.2">
      <c r="BE155" t="s">
        <v>770</v>
      </c>
      <c r="BF155">
        <v>2017</v>
      </c>
      <c r="BG155">
        <f>AZ53</f>
        <v>15</v>
      </c>
      <c r="BH155">
        <f t="shared" si="17"/>
        <v>1</v>
      </c>
    </row>
    <row r="156" spans="57:60" x14ac:dyDescent="0.2">
      <c r="BE156" t="s">
        <v>770</v>
      </c>
      <c r="BF156">
        <v>2018</v>
      </c>
      <c r="BG156">
        <f>BA53</f>
        <v>16</v>
      </c>
      <c r="BH156">
        <f t="shared" si="17"/>
        <v>1</v>
      </c>
    </row>
    <row r="157" spans="57:60" x14ac:dyDescent="0.2">
      <c r="BE157" t="s">
        <v>770</v>
      </c>
      <c r="BF157">
        <v>2019</v>
      </c>
      <c r="BG157">
        <f>BB53</f>
        <v>15</v>
      </c>
      <c r="BH157">
        <f t="shared" si="17"/>
        <v>1</v>
      </c>
    </row>
    <row r="158" spans="57:60" x14ac:dyDescent="0.2">
      <c r="BE158" t="s">
        <v>774</v>
      </c>
      <c r="BF158">
        <v>2017</v>
      </c>
      <c r="BG158">
        <f>AZ54</f>
        <v>16</v>
      </c>
      <c r="BH158">
        <f t="shared" si="17"/>
        <v>1</v>
      </c>
    </row>
    <row r="159" spans="57:60" x14ac:dyDescent="0.2">
      <c r="BE159" t="s">
        <v>774</v>
      </c>
      <c r="BF159">
        <v>2018</v>
      </c>
      <c r="BG159">
        <f>BA54</f>
        <v>13</v>
      </c>
      <c r="BH159">
        <f t="shared" si="17"/>
        <v>1</v>
      </c>
    </row>
    <row r="160" spans="57:60" x14ac:dyDescent="0.2">
      <c r="BE160" t="s">
        <v>774</v>
      </c>
      <c r="BF160">
        <v>2019</v>
      </c>
      <c r="BG160">
        <f>BB54</f>
        <v>14</v>
      </c>
      <c r="BH160">
        <f t="shared" si="17"/>
        <v>1</v>
      </c>
    </row>
    <row r="161" spans="57:60" x14ac:dyDescent="0.2">
      <c r="BE161" t="s">
        <v>266</v>
      </c>
      <c r="BF161">
        <v>2017</v>
      </c>
      <c r="BG161">
        <f>AZ55</f>
        <v>11</v>
      </c>
      <c r="BH161">
        <f t="shared" si="17"/>
        <v>0</v>
      </c>
    </row>
    <row r="162" spans="57:60" x14ac:dyDescent="0.2">
      <c r="BE162" t="s">
        <v>266</v>
      </c>
      <c r="BF162">
        <v>2018</v>
      </c>
      <c r="BG162">
        <f>BA55</f>
        <v>14</v>
      </c>
      <c r="BH162">
        <f t="shared" si="17"/>
        <v>1</v>
      </c>
    </row>
    <row r="163" spans="57:60" x14ac:dyDescent="0.2">
      <c r="BE163" t="s">
        <v>266</v>
      </c>
      <c r="BF163">
        <v>2019</v>
      </c>
      <c r="BG163">
        <f>BB55</f>
        <v>14</v>
      </c>
      <c r="BH163">
        <f t="shared" si="17"/>
        <v>1</v>
      </c>
    </row>
    <row r="164" spans="57:60" x14ac:dyDescent="0.2">
      <c r="BE164" t="s">
        <v>158</v>
      </c>
      <c r="BF164">
        <v>2017</v>
      </c>
      <c r="BG164">
        <f>AZ56</f>
        <v>18</v>
      </c>
      <c r="BH164">
        <f t="shared" si="17"/>
        <v>1</v>
      </c>
    </row>
    <row r="165" spans="57:60" x14ac:dyDescent="0.2">
      <c r="BE165" t="s">
        <v>158</v>
      </c>
      <c r="BF165">
        <v>2018</v>
      </c>
      <c r="BG165">
        <f>BA56</f>
        <v>18</v>
      </c>
      <c r="BH165">
        <f t="shared" si="17"/>
        <v>1</v>
      </c>
    </row>
    <row r="166" spans="57:60" x14ac:dyDescent="0.2">
      <c r="BE166" t="s">
        <v>158</v>
      </c>
      <c r="BF166">
        <v>2019</v>
      </c>
      <c r="BG166">
        <f>BB56</f>
        <v>18</v>
      </c>
      <c r="BH166">
        <f t="shared" si="17"/>
        <v>1</v>
      </c>
    </row>
    <row r="167" spans="57:60" x14ac:dyDescent="0.2">
      <c r="BE167" t="s">
        <v>167</v>
      </c>
      <c r="BF167">
        <v>2017</v>
      </c>
      <c r="BG167">
        <f>AZ57</f>
        <v>18</v>
      </c>
      <c r="BH167">
        <f t="shared" si="17"/>
        <v>1</v>
      </c>
    </row>
    <row r="168" spans="57:60" x14ac:dyDescent="0.2">
      <c r="BE168" t="s">
        <v>167</v>
      </c>
      <c r="BF168">
        <v>2018</v>
      </c>
      <c r="BG168">
        <f>BA57</f>
        <v>17</v>
      </c>
      <c r="BH168">
        <f t="shared" si="17"/>
        <v>1</v>
      </c>
    </row>
    <row r="169" spans="57:60" x14ac:dyDescent="0.2">
      <c r="BE169" t="s">
        <v>167</v>
      </c>
      <c r="BF169">
        <v>2019</v>
      </c>
      <c r="BG169">
        <f>BB57</f>
        <v>18</v>
      </c>
      <c r="BH169">
        <f t="shared" si="17"/>
        <v>1</v>
      </c>
    </row>
    <row r="170" spans="57:60" x14ac:dyDescent="0.2">
      <c r="BE170" t="s">
        <v>546</v>
      </c>
      <c r="BF170">
        <v>2017</v>
      </c>
      <c r="BG170">
        <f>AZ58</f>
        <v>14</v>
      </c>
      <c r="BH170">
        <f t="shared" si="17"/>
        <v>1</v>
      </c>
    </row>
    <row r="171" spans="57:60" x14ac:dyDescent="0.2">
      <c r="BE171" t="s">
        <v>546</v>
      </c>
      <c r="BF171">
        <v>2018</v>
      </c>
      <c r="BG171">
        <f>BA58</f>
        <v>14</v>
      </c>
      <c r="BH171">
        <f t="shared" si="17"/>
        <v>1</v>
      </c>
    </row>
    <row r="172" spans="57:60" x14ac:dyDescent="0.2">
      <c r="BE172" t="s">
        <v>546</v>
      </c>
      <c r="BF172">
        <v>2019</v>
      </c>
      <c r="BG172">
        <f>BB58</f>
        <v>13</v>
      </c>
      <c r="BH172">
        <f t="shared" si="17"/>
        <v>1</v>
      </c>
    </row>
    <row r="173" spans="57:60" x14ac:dyDescent="0.2">
      <c r="BE173" t="s">
        <v>366</v>
      </c>
      <c r="BF173">
        <v>2017</v>
      </c>
      <c r="BG173">
        <f>AZ59</f>
        <v>10</v>
      </c>
      <c r="BH173">
        <f t="shared" si="17"/>
        <v>0</v>
      </c>
    </row>
    <row r="174" spans="57:60" x14ac:dyDescent="0.2">
      <c r="BE174" t="s">
        <v>366</v>
      </c>
      <c r="BF174">
        <v>2018</v>
      </c>
      <c r="BG174">
        <f>BA59</f>
        <v>11</v>
      </c>
      <c r="BH174">
        <f t="shared" si="17"/>
        <v>0</v>
      </c>
    </row>
    <row r="175" spans="57:60" x14ac:dyDescent="0.2">
      <c r="BE175" t="s">
        <v>366</v>
      </c>
      <c r="BF175">
        <v>2019</v>
      </c>
      <c r="BG175">
        <f>BB59</f>
        <v>11</v>
      </c>
      <c r="BH175">
        <f t="shared" si="17"/>
        <v>0</v>
      </c>
    </row>
    <row r="176" spans="57:60" x14ac:dyDescent="0.2">
      <c r="BE176" t="s">
        <v>176</v>
      </c>
      <c r="BF176">
        <v>2017</v>
      </c>
      <c r="BG176">
        <f>AZ60</f>
        <v>17</v>
      </c>
      <c r="BH176">
        <f t="shared" si="17"/>
        <v>1</v>
      </c>
    </row>
    <row r="177" spans="57:60" x14ac:dyDescent="0.2">
      <c r="BE177" t="s">
        <v>176</v>
      </c>
      <c r="BF177">
        <v>2018</v>
      </c>
      <c r="BG177">
        <f>BA60</f>
        <v>17</v>
      </c>
      <c r="BH177">
        <f t="shared" si="17"/>
        <v>1</v>
      </c>
    </row>
    <row r="178" spans="57:60" x14ac:dyDescent="0.2">
      <c r="BE178" t="s">
        <v>176</v>
      </c>
      <c r="BF178">
        <v>2019</v>
      </c>
      <c r="BG178">
        <f>BB60</f>
        <v>17</v>
      </c>
      <c r="BH178">
        <f t="shared" si="17"/>
        <v>1</v>
      </c>
    </row>
    <row r="179" spans="57:60" x14ac:dyDescent="0.2">
      <c r="BE179" t="s">
        <v>549</v>
      </c>
      <c r="BF179">
        <v>2017</v>
      </c>
      <c r="BG179">
        <f>AZ61</f>
        <v>10</v>
      </c>
      <c r="BH179">
        <f t="shared" si="17"/>
        <v>0</v>
      </c>
    </row>
    <row r="180" spans="57:60" x14ac:dyDescent="0.2">
      <c r="BE180" t="s">
        <v>549</v>
      </c>
      <c r="BF180">
        <v>2018</v>
      </c>
      <c r="BG180">
        <f>BA61</f>
        <v>11</v>
      </c>
      <c r="BH180">
        <f t="shared" si="17"/>
        <v>0</v>
      </c>
    </row>
    <row r="181" spans="57:60" x14ac:dyDescent="0.2">
      <c r="BE181" t="s">
        <v>549</v>
      </c>
      <c r="BF181">
        <v>2019</v>
      </c>
      <c r="BG181">
        <f>BB61</f>
        <v>10</v>
      </c>
      <c r="BH181">
        <f t="shared" si="17"/>
        <v>0</v>
      </c>
    </row>
    <row r="182" spans="57:60" x14ac:dyDescent="0.2">
      <c r="BE182" t="s">
        <v>368</v>
      </c>
      <c r="BF182">
        <v>2017</v>
      </c>
      <c r="BG182">
        <f>AZ62</f>
        <v>14</v>
      </c>
      <c r="BH182">
        <f t="shared" si="17"/>
        <v>1</v>
      </c>
    </row>
    <row r="183" spans="57:60" x14ac:dyDescent="0.2">
      <c r="BE183" t="s">
        <v>368</v>
      </c>
      <c r="BF183">
        <v>2018</v>
      </c>
      <c r="BG183">
        <f>BA62</f>
        <v>11</v>
      </c>
      <c r="BH183">
        <f t="shared" si="17"/>
        <v>0</v>
      </c>
    </row>
    <row r="184" spans="57:60" x14ac:dyDescent="0.2">
      <c r="BE184" t="s">
        <v>368</v>
      </c>
      <c r="BF184">
        <v>2019</v>
      </c>
      <c r="BG184">
        <f>BB62</f>
        <v>11</v>
      </c>
      <c r="BH184">
        <f t="shared" si="17"/>
        <v>0</v>
      </c>
    </row>
    <row r="185" spans="57:60" x14ac:dyDescent="0.2">
      <c r="BE185" t="s">
        <v>451</v>
      </c>
      <c r="BF185">
        <v>2017</v>
      </c>
      <c r="BG185">
        <f>AZ63</f>
        <v>11</v>
      </c>
      <c r="BH185">
        <f t="shared" si="17"/>
        <v>0</v>
      </c>
    </row>
    <row r="186" spans="57:60" x14ac:dyDescent="0.2">
      <c r="BE186" t="s">
        <v>451</v>
      </c>
      <c r="BF186">
        <v>2018</v>
      </c>
      <c r="BG186">
        <f>BA63</f>
        <v>12</v>
      </c>
      <c r="BH186">
        <f t="shared" si="17"/>
        <v>0</v>
      </c>
    </row>
    <row r="187" spans="57:60" x14ac:dyDescent="0.2">
      <c r="BE187" t="s">
        <v>451</v>
      </c>
      <c r="BF187">
        <v>2019</v>
      </c>
      <c r="BG187">
        <f>BB63</f>
        <v>11</v>
      </c>
      <c r="BH187">
        <f t="shared" si="17"/>
        <v>0</v>
      </c>
    </row>
    <row r="188" spans="57:60" x14ac:dyDescent="0.2">
      <c r="BE188" t="s">
        <v>455</v>
      </c>
      <c r="BF188">
        <v>2017</v>
      </c>
      <c r="BG188">
        <f>AZ64</f>
        <v>15</v>
      </c>
      <c r="BH188">
        <f t="shared" si="17"/>
        <v>1</v>
      </c>
    </row>
    <row r="189" spans="57:60" x14ac:dyDescent="0.2">
      <c r="BE189" t="s">
        <v>455</v>
      </c>
      <c r="BF189">
        <v>2018</v>
      </c>
      <c r="BG189">
        <f>BA64</f>
        <v>15</v>
      </c>
      <c r="BH189">
        <f t="shared" si="17"/>
        <v>1</v>
      </c>
    </row>
    <row r="190" spans="57:60" x14ac:dyDescent="0.2">
      <c r="BE190" t="s">
        <v>455</v>
      </c>
      <c r="BF190">
        <v>2019</v>
      </c>
      <c r="BG190">
        <f>BB64</f>
        <v>15</v>
      </c>
      <c r="BH190">
        <f t="shared" si="17"/>
        <v>1</v>
      </c>
    </row>
    <row r="191" spans="57:60" x14ac:dyDescent="0.2">
      <c r="BE191" t="s">
        <v>459</v>
      </c>
      <c r="BF191">
        <v>2017</v>
      </c>
      <c r="BG191">
        <f>AZ65</f>
        <v>11</v>
      </c>
      <c r="BH191">
        <f t="shared" si="17"/>
        <v>0</v>
      </c>
    </row>
    <row r="192" spans="57:60" x14ac:dyDescent="0.2">
      <c r="BE192" t="s">
        <v>459</v>
      </c>
      <c r="BF192">
        <v>2018</v>
      </c>
      <c r="BG192">
        <f>BA65</f>
        <v>11</v>
      </c>
      <c r="BH192">
        <f t="shared" si="17"/>
        <v>0</v>
      </c>
    </row>
    <row r="193" spans="57:60" x14ac:dyDescent="0.2">
      <c r="BE193" t="s">
        <v>459</v>
      </c>
      <c r="BF193">
        <v>2019</v>
      </c>
      <c r="BG193">
        <f>BB65</f>
        <v>12</v>
      </c>
      <c r="BH193">
        <f t="shared" si="17"/>
        <v>0</v>
      </c>
    </row>
    <row r="194" spans="57:60" x14ac:dyDescent="0.2">
      <c r="BE194" t="s">
        <v>276</v>
      </c>
      <c r="BF194">
        <v>2017</v>
      </c>
      <c r="BG194">
        <f>AZ66</f>
        <v>12</v>
      </c>
      <c r="BH194">
        <f t="shared" ref="BH194:BH257" si="18">IF(BG194&gt;=BC$2,1,0)</f>
        <v>0</v>
      </c>
    </row>
    <row r="195" spans="57:60" x14ac:dyDescent="0.2">
      <c r="BE195" t="s">
        <v>276</v>
      </c>
      <c r="BF195">
        <v>2018</v>
      </c>
      <c r="BG195">
        <f>BA66</f>
        <v>12</v>
      </c>
      <c r="BH195">
        <f t="shared" si="18"/>
        <v>0</v>
      </c>
    </row>
    <row r="196" spans="57:60" x14ac:dyDescent="0.2">
      <c r="BE196" t="s">
        <v>276</v>
      </c>
      <c r="BF196">
        <v>2019</v>
      </c>
      <c r="BG196">
        <f>BB66</f>
        <v>11</v>
      </c>
      <c r="BH196">
        <f t="shared" si="18"/>
        <v>0</v>
      </c>
    </row>
    <row r="197" spans="57:60" x14ac:dyDescent="0.2">
      <c r="BE197" t="s">
        <v>372</v>
      </c>
      <c r="BF197">
        <v>2017</v>
      </c>
      <c r="BG197">
        <f>AZ67</f>
        <v>13</v>
      </c>
      <c r="BH197">
        <f t="shared" si="18"/>
        <v>1</v>
      </c>
    </row>
    <row r="198" spans="57:60" x14ac:dyDescent="0.2">
      <c r="BE198" t="s">
        <v>372</v>
      </c>
      <c r="BF198">
        <v>2018</v>
      </c>
      <c r="BG198">
        <f>BA67</f>
        <v>16</v>
      </c>
      <c r="BH198">
        <f t="shared" si="18"/>
        <v>1</v>
      </c>
    </row>
    <row r="199" spans="57:60" x14ac:dyDescent="0.2">
      <c r="BE199" t="s">
        <v>372</v>
      </c>
      <c r="BF199">
        <v>2019</v>
      </c>
      <c r="BG199">
        <f>BB67</f>
        <v>11</v>
      </c>
      <c r="BH199">
        <f t="shared" si="18"/>
        <v>0</v>
      </c>
    </row>
    <row r="200" spans="57:60" x14ac:dyDescent="0.2">
      <c r="BE200" t="s">
        <v>465</v>
      </c>
      <c r="BF200">
        <v>2017</v>
      </c>
      <c r="BG200">
        <f>AZ68</f>
        <v>14</v>
      </c>
      <c r="BH200">
        <f t="shared" si="18"/>
        <v>1</v>
      </c>
    </row>
    <row r="201" spans="57:60" x14ac:dyDescent="0.2">
      <c r="BE201" t="s">
        <v>465</v>
      </c>
      <c r="BF201">
        <v>2018</v>
      </c>
      <c r="BG201">
        <f>BA68</f>
        <v>15</v>
      </c>
      <c r="BH201">
        <f t="shared" si="18"/>
        <v>1</v>
      </c>
    </row>
    <row r="202" spans="57:60" x14ac:dyDescent="0.2">
      <c r="BE202" t="s">
        <v>465</v>
      </c>
      <c r="BF202">
        <v>2019</v>
      </c>
      <c r="BG202">
        <f>BB68</f>
        <v>14</v>
      </c>
      <c r="BH202">
        <f t="shared" si="18"/>
        <v>1</v>
      </c>
    </row>
    <row r="203" spans="57:60" x14ac:dyDescent="0.2">
      <c r="BE203" t="s">
        <v>649</v>
      </c>
      <c r="BF203">
        <v>2017</v>
      </c>
      <c r="BG203">
        <f>AZ69</f>
        <v>14</v>
      </c>
      <c r="BH203">
        <f t="shared" si="18"/>
        <v>1</v>
      </c>
    </row>
    <row r="204" spans="57:60" x14ac:dyDescent="0.2">
      <c r="BE204" t="s">
        <v>649</v>
      </c>
      <c r="BF204">
        <v>2018</v>
      </c>
      <c r="BG204">
        <f>BA69</f>
        <v>14</v>
      </c>
      <c r="BH204">
        <f t="shared" si="18"/>
        <v>1</v>
      </c>
    </row>
    <row r="205" spans="57:60" x14ac:dyDescent="0.2">
      <c r="BE205" t="s">
        <v>649</v>
      </c>
      <c r="BF205">
        <v>2019</v>
      </c>
      <c r="BG205">
        <f>BB69</f>
        <v>15</v>
      </c>
      <c r="BH205">
        <f t="shared" si="18"/>
        <v>1</v>
      </c>
    </row>
    <row r="206" spans="57:60" x14ac:dyDescent="0.2">
      <c r="BE206" t="s">
        <v>557</v>
      </c>
      <c r="BF206">
        <v>2017</v>
      </c>
      <c r="BG206">
        <f>AZ70</f>
        <v>12</v>
      </c>
      <c r="BH206">
        <f t="shared" si="18"/>
        <v>0</v>
      </c>
    </row>
    <row r="207" spans="57:60" x14ac:dyDescent="0.2">
      <c r="BE207" t="s">
        <v>557</v>
      </c>
      <c r="BF207">
        <v>2018</v>
      </c>
      <c r="BG207">
        <f>BA70</f>
        <v>12</v>
      </c>
      <c r="BH207">
        <f t="shared" si="18"/>
        <v>0</v>
      </c>
    </row>
    <row r="208" spans="57:60" x14ac:dyDescent="0.2">
      <c r="BE208" t="s">
        <v>557</v>
      </c>
      <c r="BF208">
        <v>2019</v>
      </c>
      <c r="BG208">
        <f>BB70</f>
        <v>13</v>
      </c>
      <c r="BH208">
        <f t="shared" si="18"/>
        <v>1</v>
      </c>
    </row>
    <row r="209" spans="57:60" x14ac:dyDescent="0.2">
      <c r="BE209" t="s">
        <v>181</v>
      </c>
      <c r="BF209">
        <v>2017</v>
      </c>
      <c r="BG209">
        <f>AZ71</f>
        <v>11</v>
      </c>
      <c r="BH209">
        <f t="shared" si="18"/>
        <v>0</v>
      </c>
    </row>
    <row r="210" spans="57:60" x14ac:dyDescent="0.2">
      <c r="BE210" t="s">
        <v>181</v>
      </c>
      <c r="BF210">
        <v>2018</v>
      </c>
      <c r="BG210">
        <f>BA71</f>
        <v>15</v>
      </c>
      <c r="BH210">
        <f t="shared" si="18"/>
        <v>1</v>
      </c>
    </row>
    <row r="211" spans="57:60" x14ac:dyDescent="0.2">
      <c r="BE211" t="s">
        <v>181</v>
      </c>
      <c r="BF211">
        <v>2019</v>
      </c>
      <c r="BG211">
        <f>BB71</f>
        <v>14</v>
      </c>
      <c r="BH211">
        <f t="shared" si="18"/>
        <v>1</v>
      </c>
    </row>
    <row r="212" spans="57:60" x14ac:dyDescent="0.2">
      <c r="BE212" t="s">
        <v>657</v>
      </c>
      <c r="BF212">
        <v>2017</v>
      </c>
      <c r="BG212">
        <f>AZ72</f>
        <v>15</v>
      </c>
      <c r="BH212">
        <f t="shared" si="18"/>
        <v>1</v>
      </c>
    </row>
    <row r="213" spans="57:60" x14ac:dyDescent="0.2">
      <c r="BE213" t="s">
        <v>657</v>
      </c>
      <c r="BF213">
        <v>2018</v>
      </c>
      <c r="BG213">
        <f>BA72</f>
        <v>15</v>
      </c>
      <c r="BH213">
        <f t="shared" si="18"/>
        <v>1</v>
      </c>
    </row>
    <row r="214" spans="57:60" x14ac:dyDescent="0.2">
      <c r="BE214" t="s">
        <v>657</v>
      </c>
      <c r="BF214">
        <v>2019</v>
      </c>
      <c r="BG214">
        <f>BB72</f>
        <v>16</v>
      </c>
      <c r="BH214">
        <f t="shared" si="18"/>
        <v>1</v>
      </c>
    </row>
    <row r="215" spans="57:60" x14ac:dyDescent="0.2">
      <c r="BE215" t="s">
        <v>190</v>
      </c>
      <c r="BF215">
        <v>2017</v>
      </c>
      <c r="BG215">
        <f>AZ73</f>
        <v>17</v>
      </c>
      <c r="BH215">
        <f t="shared" si="18"/>
        <v>1</v>
      </c>
    </row>
    <row r="216" spans="57:60" x14ac:dyDescent="0.2">
      <c r="BE216" t="s">
        <v>190</v>
      </c>
      <c r="BF216">
        <v>2018</v>
      </c>
      <c r="BG216">
        <f>BA73</f>
        <v>17</v>
      </c>
      <c r="BH216">
        <f t="shared" si="18"/>
        <v>1</v>
      </c>
    </row>
    <row r="217" spans="57:60" x14ac:dyDescent="0.2">
      <c r="BE217" t="s">
        <v>190</v>
      </c>
      <c r="BF217">
        <v>2019</v>
      </c>
      <c r="BG217">
        <f>BB73</f>
        <v>17</v>
      </c>
      <c r="BH217">
        <f t="shared" si="18"/>
        <v>1</v>
      </c>
    </row>
    <row r="218" spans="57:60" x14ac:dyDescent="0.2">
      <c r="BE218" t="s">
        <v>184</v>
      </c>
      <c r="BF218">
        <v>2017</v>
      </c>
      <c r="BG218">
        <f>AZ74</f>
        <v>17</v>
      </c>
      <c r="BH218">
        <f t="shared" si="18"/>
        <v>1</v>
      </c>
    </row>
    <row r="219" spans="57:60" x14ac:dyDescent="0.2">
      <c r="BE219" t="s">
        <v>184</v>
      </c>
      <c r="BF219">
        <v>2018</v>
      </c>
      <c r="BG219">
        <f>BA74</f>
        <v>16</v>
      </c>
      <c r="BH219">
        <f t="shared" si="18"/>
        <v>1</v>
      </c>
    </row>
    <row r="220" spans="57:60" x14ac:dyDescent="0.2">
      <c r="BE220" t="s">
        <v>184</v>
      </c>
      <c r="BF220">
        <v>2019</v>
      </c>
      <c r="BG220">
        <f>BB74</f>
        <v>15</v>
      </c>
      <c r="BH220">
        <f t="shared" si="18"/>
        <v>1</v>
      </c>
    </row>
    <row r="221" spans="57:60" x14ac:dyDescent="0.2">
      <c r="BE221" t="s">
        <v>786</v>
      </c>
      <c r="BF221">
        <v>2017</v>
      </c>
      <c r="BG221">
        <f>AZ75</f>
        <v>16</v>
      </c>
      <c r="BH221">
        <f t="shared" si="18"/>
        <v>1</v>
      </c>
    </row>
    <row r="222" spans="57:60" x14ac:dyDescent="0.2">
      <c r="BE222" t="s">
        <v>786</v>
      </c>
      <c r="BF222">
        <v>2018</v>
      </c>
      <c r="BG222">
        <f>BA75</f>
        <v>16</v>
      </c>
      <c r="BH222">
        <f t="shared" si="18"/>
        <v>1</v>
      </c>
    </row>
    <row r="223" spans="57:60" x14ac:dyDescent="0.2">
      <c r="BE223" t="s">
        <v>786</v>
      </c>
      <c r="BF223">
        <v>2019</v>
      </c>
      <c r="BG223">
        <f>BB75</f>
        <v>16</v>
      </c>
      <c r="BH223">
        <f t="shared" si="18"/>
        <v>1</v>
      </c>
    </row>
    <row r="224" spans="57:60" x14ac:dyDescent="0.2">
      <c r="BE224" t="s">
        <v>789</v>
      </c>
      <c r="BF224">
        <v>2017</v>
      </c>
      <c r="BG224">
        <f>AZ76</f>
        <v>14</v>
      </c>
      <c r="BH224">
        <f t="shared" si="18"/>
        <v>1</v>
      </c>
    </row>
    <row r="225" spans="57:60" x14ac:dyDescent="0.2">
      <c r="BE225" t="s">
        <v>789</v>
      </c>
      <c r="BF225">
        <v>2018</v>
      </c>
      <c r="BG225">
        <f>BA76</f>
        <v>13</v>
      </c>
      <c r="BH225">
        <f t="shared" si="18"/>
        <v>1</v>
      </c>
    </row>
    <row r="226" spans="57:60" x14ac:dyDescent="0.2">
      <c r="BE226" t="s">
        <v>789</v>
      </c>
      <c r="BF226">
        <v>2019</v>
      </c>
      <c r="BG226">
        <f>BB76</f>
        <v>14</v>
      </c>
      <c r="BH226">
        <f t="shared" si="18"/>
        <v>1</v>
      </c>
    </row>
    <row r="227" spans="57:60" x14ac:dyDescent="0.2">
      <c r="BE227" t="s">
        <v>471</v>
      </c>
      <c r="BF227">
        <v>2017</v>
      </c>
      <c r="BG227">
        <f>AZ77</f>
        <v>16</v>
      </c>
      <c r="BH227">
        <f t="shared" si="18"/>
        <v>1</v>
      </c>
    </row>
    <row r="228" spans="57:60" x14ac:dyDescent="0.2">
      <c r="BE228" t="s">
        <v>471</v>
      </c>
      <c r="BF228">
        <v>2018</v>
      </c>
      <c r="BG228">
        <f>BA77</f>
        <v>16</v>
      </c>
      <c r="BH228">
        <f t="shared" si="18"/>
        <v>1</v>
      </c>
    </row>
    <row r="229" spans="57:60" x14ac:dyDescent="0.2">
      <c r="BE229" t="s">
        <v>471</v>
      </c>
      <c r="BF229">
        <v>2019</v>
      </c>
      <c r="BG229">
        <f>BB77</f>
        <v>16</v>
      </c>
      <c r="BH229">
        <f t="shared" si="18"/>
        <v>1</v>
      </c>
    </row>
    <row r="230" spans="57:60" x14ac:dyDescent="0.2">
      <c r="BE230" t="s">
        <v>662</v>
      </c>
      <c r="BF230">
        <v>2017</v>
      </c>
      <c r="BG230">
        <f>AZ78</f>
        <v>16</v>
      </c>
      <c r="BH230">
        <f t="shared" si="18"/>
        <v>1</v>
      </c>
    </row>
    <row r="231" spans="57:60" x14ac:dyDescent="0.2">
      <c r="BE231" t="s">
        <v>662</v>
      </c>
      <c r="BF231">
        <v>2018</v>
      </c>
      <c r="BG231">
        <f>BA78</f>
        <v>15</v>
      </c>
      <c r="BH231">
        <f t="shared" si="18"/>
        <v>1</v>
      </c>
    </row>
    <row r="232" spans="57:60" x14ac:dyDescent="0.2">
      <c r="BE232" t="s">
        <v>662</v>
      </c>
      <c r="BF232">
        <v>2019</v>
      </c>
      <c r="BG232">
        <f>BB78</f>
        <v>12</v>
      </c>
      <c r="BH232">
        <f t="shared" si="18"/>
        <v>0</v>
      </c>
    </row>
    <row r="233" spans="57:60" x14ac:dyDescent="0.2">
      <c r="BE233" t="s">
        <v>665</v>
      </c>
      <c r="BF233">
        <v>2017</v>
      </c>
      <c r="BG233">
        <f>AZ79</f>
        <v>17</v>
      </c>
      <c r="BH233">
        <f t="shared" si="18"/>
        <v>1</v>
      </c>
    </row>
    <row r="234" spans="57:60" x14ac:dyDescent="0.2">
      <c r="BE234" t="s">
        <v>665</v>
      </c>
      <c r="BF234">
        <v>2018</v>
      </c>
      <c r="BG234">
        <f>BA79</f>
        <v>16</v>
      </c>
      <c r="BH234">
        <f t="shared" si="18"/>
        <v>1</v>
      </c>
    </row>
    <row r="235" spans="57:60" x14ac:dyDescent="0.2">
      <c r="BE235" t="s">
        <v>665</v>
      </c>
      <c r="BF235">
        <v>2019</v>
      </c>
      <c r="BG235">
        <f>BB79</f>
        <v>17</v>
      </c>
      <c r="BH235">
        <f t="shared" si="18"/>
        <v>1</v>
      </c>
    </row>
    <row r="236" spans="57:60" x14ac:dyDescent="0.2">
      <c r="BE236" t="s">
        <v>106</v>
      </c>
      <c r="BF236">
        <v>2017</v>
      </c>
      <c r="BG236">
        <f>AZ80</f>
        <v>13</v>
      </c>
      <c r="BH236">
        <f t="shared" si="18"/>
        <v>1</v>
      </c>
    </row>
    <row r="237" spans="57:60" x14ac:dyDescent="0.2">
      <c r="BE237" t="s">
        <v>106</v>
      </c>
      <c r="BF237">
        <v>2018</v>
      </c>
      <c r="BG237">
        <f>BA80</f>
        <v>12</v>
      </c>
      <c r="BH237">
        <f t="shared" si="18"/>
        <v>0</v>
      </c>
    </row>
    <row r="238" spans="57:60" x14ac:dyDescent="0.2">
      <c r="BE238" t="s">
        <v>106</v>
      </c>
      <c r="BF238">
        <v>2019</v>
      </c>
      <c r="BG238">
        <f>BB80</f>
        <v>13</v>
      </c>
      <c r="BH238">
        <f t="shared" si="18"/>
        <v>1</v>
      </c>
    </row>
    <row r="239" spans="57:60" x14ac:dyDescent="0.2">
      <c r="BE239" t="s">
        <v>794</v>
      </c>
      <c r="BF239">
        <v>2017</v>
      </c>
      <c r="BG239">
        <f>AZ81</f>
        <v>13</v>
      </c>
      <c r="BH239">
        <f t="shared" si="18"/>
        <v>1</v>
      </c>
    </row>
    <row r="240" spans="57:60" x14ac:dyDescent="0.2">
      <c r="BE240" t="s">
        <v>794</v>
      </c>
      <c r="BF240">
        <v>2018</v>
      </c>
      <c r="BG240">
        <f>BA81</f>
        <v>13</v>
      </c>
      <c r="BH240">
        <f t="shared" si="18"/>
        <v>1</v>
      </c>
    </row>
    <row r="241" spans="57:60" x14ac:dyDescent="0.2">
      <c r="BE241" t="s">
        <v>794</v>
      </c>
      <c r="BF241">
        <v>2019</v>
      </c>
      <c r="BG241">
        <f>BB81</f>
        <v>13</v>
      </c>
      <c r="BH241">
        <f t="shared" si="18"/>
        <v>1</v>
      </c>
    </row>
    <row r="242" spans="57:60" x14ac:dyDescent="0.2">
      <c r="BE242" t="s">
        <v>475</v>
      </c>
      <c r="BF242">
        <v>2017</v>
      </c>
      <c r="BG242">
        <f>AZ82</f>
        <v>14</v>
      </c>
      <c r="BH242">
        <f t="shared" si="18"/>
        <v>1</v>
      </c>
    </row>
    <row r="243" spans="57:60" x14ac:dyDescent="0.2">
      <c r="BE243" t="s">
        <v>475</v>
      </c>
      <c r="BF243">
        <v>2018</v>
      </c>
      <c r="BG243">
        <f>BA82</f>
        <v>15</v>
      </c>
      <c r="BH243">
        <f t="shared" si="18"/>
        <v>1</v>
      </c>
    </row>
    <row r="244" spans="57:60" x14ac:dyDescent="0.2">
      <c r="BE244" t="s">
        <v>475</v>
      </c>
      <c r="BF244">
        <v>2019</v>
      </c>
      <c r="BG244">
        <f>BB82</f>
        <v>14</v>
      </c>
      <c r="BH244">
        <f t="shared" si="18"/>
        <v>1</v>
      </c>
    </row>
    <row r="245" spans="57:60" x14ac:dyDescent="0.2">
      <c r="BE245" t="s">
        <v>800</v>
      </c>
      <c r="BF245">
        <v>2017</v>
      </c>
      <c r="BG245">
        <f>AZ83</f>
        <v>17</v>
      </c>
      <c r="BH245">
        <f t="shared" si="18"/>
        <v>1</v>
      </c>
    </row>
    <row r="246" spans="57:60" x14ac:dyDescent="0.2">
      <c r="BE246" t="s">
        <v>800</v>
      </c>
      <c r="BF246">
        <v>2018</v>
      </c>
      <c r="BG246">
        <f>BA83</f>
        <v>18</v>
      </c>
      <c r="BH246">
        <f t="shared" si="18"/>
        <v>1</v>
      </c>
    </row>
    <row r="247" spans="57:60" x14ac:dyDescent="0.2">
      <c r="BE247" t="s">
        <v>800</v>
      </c>
      <c r="BF247">
        <v>2019</v>
      </c>
      <c r="BG247">
        <f>BB83</f>
        <v>19</v>
      </c>
      <c r="BH247">
        <f t="shared" si="18"/>
        <v>1</v>
      </c>
    </row>
    <row r="248" spans="57:60" x14ac:dyDescent="0.2">
      <c r="BE248" t="s">
        <v>479</v>
      </c>
      <c r="BF248">
        <v>2017</v>
      </c>
      <c r="BG248">
        <f>AZ84</f>
        <v>15</v>
      </c>
      <c r="BH248">
        <f t="shared" si="18"/>
        <v>1</v>
      </c>
    </row>
    <row r="249" spans="57:60" x14ac:dyDescent="0.2">
      <c r="BE249" t="s">
        <v>479</v>
      </c>
      <c r="BF249">
        <v>2018</v>
      </c>
      <c r="BG249">
        <f>BA84</f>
        <v>15</v>
      </c>
      <c r="BH249">
        <f t="shared" si="18"/>
        <v>1</v>
      </c>
    </row>
    <row r="250" spans="57:60" x14ac:dyDescent="0.2">
      <c r="BE250" t="s">
        <v>479</v>
      </c>
      <c r="BF250">
        <v>2019</v>
      </c>
      <c r="BG250">
        <f>BB84</f>
        <v>15</v>
      </c>
      <c r="BH250">
        <f t="shared" si="18"/>
        <v>1</v>
      </c>
    </row>
    <row r="251" spans="57:60" x14ac:dyDescent="0.2">
      <c r="BE251" t="s">
        <v>562</v>
      </c>
      <c r="BF251">
        <v>2017</v>
      </c>
      <c r="BG251">
        <f>AZ85</f>
        <v>13</v>
      </c>
      <c r="BH251">
        <f t="shared" si="18"/>
        <v>1</v>
      </c>
    </row>
    <row r="252" spans="57:60" x14ac:dyDescent="0.2">
      <c r="BE252" t="s">
        <v>562</v>
      </c>
      <c r="BF252">
        <v>2018</v>
      </c>
      <c r="BG252">
        <f>BA85</f>
        <v>15</v>
      </c>
      <c r="BH252">
        <f t="shared" si="18"/>
        <v>1</v>
      </c>
    </row>
    <row r="253" spans="57:60" x14ac:dyDescent="0.2">
      <c r="BE253" t="s">
        <v>562</v>
      </c>
      <c r="BF253">
        <v>2019</v>
      </c>
      <c r="BG253">
        <f>BB85</f>
        <v>15</v>
      </c>
      <c r="BH253">
        <f t="shared" si="18"/>
        <v>1</v>
      </c>
    </row>
    <row r="254" spans="57:60" x14ac:dyDescent="0.2">
      <c r="BE254" t="s">
        <v>292</v>
      </c>
      <c r="BF254">
        <v>2017</v>
      </c>
      <c r="BG254">
        <f>AZ86</f>
        <v>9</v>
      </c>
      <c r="BH254">
        <f t="shared" si="18"/>
        <v>0</v>
      </c>
    </row>
    <row r="255" spans="57:60" x14ac:dyDescent="0.2">
      <c r="BE255" t="s">
        <v>292</v>
      </c>
      <c r="BF255">
        <v>2018</v>
      </c>
      <c r="BG255">
        <f>BA86</f>
        <v>9</v>
      </c>
      <c r="BH255">
        <f t="shared" si="18"/>
        <v>0</v>
      </c>
    </row>
    <row r="256" spans="57:60" x14ac:dyDescent="0.2">
      <c r="BE256" t="s">
        <v>292</v>
      </c>
      <c r="BF256">
        <v>2019</v>
      </c>
      <c r="BG256">
        <f>BB86</f>
        <v>9</v>
      </c>
      <c r="BH256">
        <f t="shared" si="18"/>
        <v>0</v>
      </c>
    </row>
    <row r="257" spans="57:60" x14ac:dyDescent="0.2">
      <c r="BE257" t="s">
        <v>188</v>
      </c>
      <c r="BF257">
        <v>2017</v>
      </c>
      <c r="BG257">
        <f>AZ87</f>
        <v>15</v>
      </c>
      <c r="BH257">
        <f t="shared" si="18"/>
        <v>1</v>
      </c>
    </row>
    <row r="258" spans="57:60" x14ac:dyDescent="0.2">
      <c r="BE258" t="s">
        <v>188</v>
      </c>
      <c r="BF258">
        <v>2018</v>
      </c>
      <c r="BG258">
        <f>BA87</f>
        <v>16</v>
      </c>
      <c r="BH258">
        <f t="shared" ref="BH258:BH321" si="19">IF(BG258&gt;=BC$2,1,0)</f>
        <v>1</v>
      </c>
    </row>
    <row r="259" spans="57:60" x14ac:dyDescent="0.2">
      <c r="BE259" t="s">
        <v>188</v>
      </c>
      <c r="BF259">
        <v>2019</v>
      </c>
      <c r="BG259">
        <f>BB87</f>
        <v>16</v>
      </c>
      <c r="BH259">
        <f t="shared" si="19"/>
        <v>1</v>
      </c>
    </row>
    <row r="260" spans="57:60" x14ac:dyDescent="0.2">
      <c r="BE260" t="s">
        <v>654</v>
      </c>
      <c r="BF260">
        <v>2017</v>
      </c>
      <c r="BG260">
        <f>AZ88</f>
        <v>15</v>
      </c>
      <c r="BH260">
        <f t="shared" si="19"/>
        <v>1</v>
      </c>
    </row>
    <row r="261" spans="57:60" x14ac:dyDescent="0.2">
      <c r="BE261" t="s">
        <v>654</v>
      </c>
      <c r="BF261">
        <v>2018</v>
      </c>
      <c r="BG261">
        <f>BA88</f>
        <v>16</v>
      </c>
      <c r="BH261">
        <f t="shared" si="19"/>
        <v>1</v>
      </c>
    </row>
    <row r="262" spans="57:60" x14ac:dyDescent="0.2">
      <c r="BE262" t="s">
        <v>654</v>
      </c>
      <c r="BF262">
        <v>2019</v>
      </c>
      <c r="BG262">
        <f>BB88</f>
        <v>16</v>
      </c>
      <c r="BH262">
        <f t="shared" si="19"/>
        <v>1</v>
      </c>
    </row>
    <row r="263" spans="57:60" x14ac:dyDescent="0.2">
      <c r="BE263" t="s">
        <v>377</v>
      </c>
      <c r="BF263">
        <v>2017</v>
      </c>
      <c r="BG263">
        <f>AZ89</f>
        <v>14</v>
      </c>
      <c r="BH263">
        <f t="shared" si="19"/>
        <v>1</v>
      </c>
    </row>
    <row r="264" spans="57:60" x14ac:dyDescent="0.2">
      <c r="BE264" t="s">
        <v>377</v>
      </c>
      <c r="BF264">
        <v>2018</v>
      </c>
      <c r="BG264">
        <f>BA89</f>
        <v>14</v>
      </c>
      <c r="BH264">
        <f t="shared" si="19"/>
        <v>1</v>
      </c>
    </row>
    <row r="265" spans="57:60" x14ac:dyDescent="0.2">
      <c r="BE265" t="s">
        <v>377</v>
      </c>
      <c r="BF265">
        <v>2019</v>
      </c>
      <c r="BG265">
        <f>BB89</f>
        <v>14</v>
      </c>
      <c r="BH265">
        <f t="shared" si="19"/>
        <v>1</v>
      </c>
    </row>
    <row r="266" spans="57:60" x14ac:dyDescent="0.2">
      <c r="BE266" t="s">
        <v>193</v>
      </c>
      <c r="BF266">
        <v>2017</v>
      </c>
      <c r="BG266">
        <f>AZ90</f>
        <v>14</v>
      </c>
      <c r="BH266">
        <f t="shared" si="19"/>
        <v>1</v>
      </c>
    </row>
    <row r="267" spans="57:60" x14ac:dyDescent="0.2">
      <c r="BE267" t="s">
        <v>193</v>
      </c>
      <c r="BF267">
        <v>2018</v>
      </c>
      <c r="BG267">
        <f>BA90</f>
        <v>14</v>
      </c>
      <c r="BH267">
        <f t="shared" si="19"/>
        <v>1</v>
      </c>
    </row>
    <row r="268" spans="57:60" x14ac:dyDescent="0.2">
      <c r="BE268" t="s">
        <v>193</v>
      </c>
      <c r="BF268">
        <v>2019</v>
      </c>
      <c r="BG268">
        <f>BB90</f>
        <v>14</v>
      </c>
      <c r="BH268">
        <f t="shared" si="19"/>
        <v>1</v>
      </c>
    </row>
    <row r="269" spans="57:60" x14ac:dyDescent="0.2">
      <c r="BE269" t="s">
        <v>814</v>
      </c>
      <c r="BF269">
        <v>2017</v>
      </c>
      <c r="BG269">
        <f>AZ91</f>
        <v>17</v>
      </c>
      <c r="BH269">
        <f t="shared" si="19"/>
        <v>1</v>
      </c>
    </row>
    <row r="270" spans="57:60" x14ac:dyDescent="0.2">
      <c r="BE270" t="s">
        <v>814</v>
      </c>
      <c r="BF270">
        <v>2018</v>
      </c>
      <c r="BG270">
        <f>BA91</f>
        <v>16</v>
      </c>
      <c r="BH270">
        <f t="shared" si="19"/>
        <v>1</v>
      </c>
    </row>
    <row r="271" spans="57:60" x14ac:dyDescent="0.2">
      <c r="BE271" t="s">
        <v>814</v>
      </c>
      <c r="BF271">
        <v>2019</v>
      </c>
      <c r="BG271">
        <f>BB91</f>
        <v>16</v>
      </c>
      <c r="BH271">
        <f t="shared" si="19"/>
        <v>1</v>
      </c>
    </row>
    <row r="272" spans="57:60" x14ac:dyDescent="0.2">
      <c r="BE272" t="s">
        <v>818</v>
      </c>
      <c r="BF272">
        <v>2017</v>
      </c>
      <c r="BG272">
        <f>AZ92</f>
        <v>12</v>
      </c>
      <c r="BH272">
        <f t="shared" si="19"/>
        <v>0</v>
      </c>
    </row>
    <row r="273" spans="57:60" x14ac:dyDescent="0.2">
      <c r="BE273" t="s">
        <v>818</v>
      </c>
      <c r="BF273">
        <v>2018</v>
      </c>
      <c r="BG273">
        <f>BA92</f>
        <v>12</v>
      </c>
      <c r="BH273">
        <f t="shared" si="19"/>
        <v>0</v>
      </c>
    </row>
    <row r="274" spans="57:60" x14ac:dyDescent="0.2">
      <c r="BE274" t="s">
        <v>818</v>
      </c>
      <c r="BF274">
        <v>2019</v>
      </c>
      <c r="BG274">
        <f>BB92</f>
        <v>12</v>
      </c>
      <c r="BH274">
        <f t="shared" si="19"/>
        <v>0</v>
      </c>
    </row>
    <row r="275" spans="57:60" x14ac:dyDescent="0.2">
      <c r="BE275" t="s">
        <v>196</v>
      </c>
      <c r="BF275">
        <v>2017</v>
      </c>
      <c r="BG275">
        <f>AZ93</f>
        <v>17</v>
      </c>
      <c r="BH275">
        <f t="shared" si="19"/>
        <v>1</v>
      </c>
    </row>
    <row r="276" spans="57:60" x14ac:dyDescent="0.2">
      <c r="BE276" t="s">
        <v>196</v>
      </c>
      <c r="BF276">
        <v>2018</v>
      </c>
      <c r="BG276">
        <f>BA93</f>
        <v>17</v>
      </c>
      <c r="BH276">
        <f t="shared" si="19"/>
        <v>1</v>
      </c>
    </row>
    <row r="277" spans="57:60" x14ac:dyDescent="0.2">
      <c r="BE277" t="s">
        <v>196</v>
      </c>
      <c r="BF277">
        <v>2019</v>
      </c>
      <c r="BG277">
        <f>BB93</f>
        <v>17</v>
      </c>
      <c r="BH277">
        <f t="shared" si="19"/>
        <v>1</v>
      </c>
    </row>
    <row r="278" spans="57:60" x14ac:dyDescent="0.2">
      <c r="BE278" t="s">
        <v>381</v>
      </c>
      <c r="BF278">
        <v>2017</v>
      </c>
      <c r="BG278">
        <f>AZ94</f>
        <v>11</v>
      </c>
      <c r="BH278">
        <f t="shared" si="19"/>
        <v>0</v>
      </c>
    </row>
    <row r="279" spans="57:60" x14ac:dyDescent="0.2">
      <c r="BE279" t="s">
        <v>381</v>
      </c>
      <c r="BF279">
        <v>2018</v>
      </c>
      <c r="BG279">
        <f>BA94</f>
        <v>12</v>
      </c>
      <c r="BH279">
        <f t="shared" si="19"/>
        <v>0</v>
      </c>
    </row>
    <row r="280" spans="57:60" x14ac:dyDescent="0.2">
      <c r="BE280" t="s">
        <v>381</v>
      </c>
      <c r="BF280">
        <v>2019</v>
      </c>
      <c r="BG280">
        <f>BB94</f>
        <v>12</v>
      </c>
      <c r="BH280">
        <f t="shared" si="19"/>
        <v>0</v>
      </c>
    </row>
    <row r="281" spans="57:60" x14ac:dyDescent="0.2">
      <c r="BE281" t="s">
        <v>199</v>
      </c>
      <c r="BF281">
        <v>2017</v>
      </c>
      <c r="BG281">
        <f>AZ95</f>
        <v>17</v>
      </c>
      <c r="BH281">
        <f t="shared" si="19"/>
        <v>1</v>
      </c>
    </row>
    <row r="282" spans="57:60" x14ac:dyDescent="0.2">
      <c r="BE282" t="s">
        <v>199</v>
      </c>
      <c r="BF282">
        <v>2018</v>
      </c>
      <c r="BG282">
        <f>BA95</f>
        <v>17</v>
      </c>
      <c r="BH282">
        <f t="shared" si="19"/>
        <v>1</v>
      </c>
    </row>
    <row r="283" spans="57:60" x14ac:dyDescent="0.2">
      <c r="BE283" t="s">
        <v>199</v>
      </c>
      <c r="BF283">
        <v>2019</v>
      </c>
      <c r="BG283">
        <f>BB95</f>
        <v>17</v>
      </c>
      <c r="BH283">
        <f t="shared" si="19"/>
        <v>1</v>
      </c>
    </row>
    <row r="284" spans="57:60" x14ac:dyDescent="0.2">
      <c r="BE284" t="s">
        <v>568</v>
      </c>
      <c r="BF284">
        <v>2017</v>
      </c>
      <c r="BG284">
        <f>AZ96</f>
        <v>14</v>
      </c>
      <c r="BH284">
        <f t="shared" si="19"/>
        <v>1</v>
      </c>
    </row>
    <row r="285" spans="57:60" x14ac:dyDescent="0.2">
      <c r="BE285" t="s">
        <v>568</v>
      </c>
      <c r="BF285">
        <v>2018</v>
      </c>
      <c r="BG285">
        <f>BA96</f>
        <v>14</v>
      </c>
      <c r="BH285">
        <f t="shared" si="19"/>
        <v>1</v>
      </c>
    </row>
    <row r="286" spans="57:60" x14ac:dyDescent="0.2">
      <c r="BE286" t="s">
        <v>568</v>
      </c>
      <c r="BF286">
        <v>2019</v>
      </c>
      <c r="BG286">
        <f>BB96</f>
        <v>15</v>
      </c>
      <c r="BH286">
        <f t="shared" si="19"/>
        <v>1</v>
      </c>
    </row>
    <row r="287" spans="57:60" x14ac:dyDescent="0.2">
      <c r="BE287" t="s">
        <v>675</v>
      </c>
      <c r="BF287">
        <v>2017</v>
      </c>
      <c r="BG287">
        <f>AZ97</f>
        <v>14</v>
      </c>
      <c r="BH287">
        <f t="shared" si="19"/>
        <v>1</v>
      </c>
    </row>
    <row r="288" spans="57:60" x14ac:dyDescent="0.2">
      <c r="BE288" t="s">
        <v>675</v>
      </c>
      <c r="BF288">
        <v>2018</v>
      </c>
      <c r="BG288">
        <f>BA97</f>
        <v>13</v>
      </c>
      <c r="BH288">
        <f t="shared" si="19"/>
        <v>1</v>
      </c>
    </row>
    <row r="289" spans="57:60" x14ac:dyDescent="0.2">
      <c r="BE289" t="s">
        <v>675</v>
      </c>
      <c r="BF289">
        <v>2019</v>
      </c>
      <c r="BG289">
        <f>BB97</f>
        <v>13</v>
      </c>
      <c r="BH289">
        <f t="shared" si="19"/>
        <v>1</v>
      </c>
    </row>
    <row r="290" spans="57:60" x14ac:dyDescent="0.2">
      <c r="BE290" t="s">
        <v>301</v>
      </c>
      <c r="BF290">
        <v>2017</v>
      </c>
      <c r="BG290">
        <f>AZ98</f>
        <v>13</v>
      </c>
      <c r="BH290">
        <f t="shared" si="19"/>
        <v>1</v>
      </c>
    </row>
    <row r="291" spans="57:60" x14ac:dyDescent="0.2">
      <c r="BE291" t="s">
        <v>301</v>
      </c>
      <c r="BF291">
        <v>2018</v>
      </c>
      <c r="BG291">
        <f>BA98</f>
        <v>12</v>
      </c>
      <c r="BH291">
        <f t="shared" si="19"/>
        <v>0</v>
      </c>
    </row>
    <row r="292" spans="57:60" x14ac:dyDescent="0.2">
      <c r="BE292" t="s">
        <v>301</v>
      </c>
      <c r="BF292">
        <v>2019</v>
      </c>
      <c r="BG292">
        <f>BB98</f>
        <v>11</v>
      </c>
      <c r="BH292">
        <f t="shared" si="19"/>
        <v>0</v>
      </c>
    </row>
    <row r="293" spans="57:60" x14ac:dyDescent="0.2">
      <c r="BE293" t="s">
        <v>384</v>
      </c>
      <c r="BF293">
        <v>2017</v>
      </c>
      <c r="BG293">
        <f>AZ99</f>
        <v>12</v>
      </c>
      <c r="BH293">
        <f t="shared" si="19"/>
        <v>0</v>
      </c>
    </row>
    <row r="294" spans="57:60" x14ac:dyDescent="0.2">
      <c r="BE294" t="s">
        <v>384</v>
      </c>
      <c r="BF294">
        <v>2018</v>
      </c>
      <c r="BG294">
        <f>BA99</f>
        <v>13</v>
      </c>
      <c r="BH294">
        <f t="shared" si="19"/>
        <v>1</v>
      </c>
    </row>
    <row r="295" spans="57:60" x14ac:dyDescent="0.2">
      <c r="BE295" t="s">
        <v>384</v>
      </c>
      <c r="BF295">
        <v>2019</v>
      </c>
      <c r="BG295">
        <f>BB99</f>
        <v>12</v>
      </c>
      <c r="BH295">
        <f t="shared" si="19"/>
        <v>0</v>
      </c>
    </row>
    <row r="296" spans="57:60" x14ac:dyDescent="0.2">
      <c r="BE296" t="s">
        <v>297</v>
      </c>
      <c r="BF296">
        <v>2017</v>
      </c>
      <c r="BG296">
        <f>AZ100</f>
        <v>13</v>
      </c>
      <c r="BH296">
        <f t="shared" si="19"/>
        <v>1</v>
      </c>
    </row>
    <row r="297" spans="57:60" x14ac:dyDescent="0.2">
      <c r="BE297" t="s">
        <v>297</v>
      </c>
      <c r="BF297">
        <v>2018</v>
      </c>
      <c r="BG297">
        <f>BA100</f>
        <v>12</v>
      </c>
      <c r="BH297">
        <f t="shared" si="19"/>
        <v>0</v>
      </c>
    </row>
    <row r="298" spans="57:60" x14ac:dyDescent="0.2">
      <c r="BE298" t="s">
        <v>297</v>
      </c>
      <c r="BF298">
        <v>2019</v>
      </c>
      <c r="BG298">
        <f>BB100</f>
        <v>11</v>
      </c>
      <c r="BH298">
        <f t="shared" si="19"/>
        <v>0</v>
      </c>
    </row>
    <row r="299" spans="57:60" x14ac:dyDescent="0.2">
      <c r="BE299" t="s">
        <v>387</v>
      </c>
      <c r="BF299">
        <v>2017</v>
      </c>
      <c r="BG299">
        <f>AZ101</f>
        <v>12</v>
      </c>
      <c r="BH299">
        <f t="shared" si="19"/>
        <v>0</v>
      </c>
    </row>
    <row r="300" spans="57:60" x14ac:dyDescent="0.2">
      <c r="BE300" t="s">
        <v>387</v>
      </c>
      <c r="BF300">
        <v>2018</v>
      </c>
      <c r="BG300">
        <f>BA101</f>
        <v>13</v>
      </c>
      <c r="BH300">
        <f t="shared" si="19"/>
        <v>1</v>
      </c>
    </row>
    <row r="301" spans="57:60" x14ac:dyDescent="0.2">
      <c r="BE301" t="s">
        <v>387</v>
      </c>
      <c r="BF301">
        <v>2019</v>
      </c>
      <c r="BG301">
        <f>BB101</f>
        <v>13</v>
      </c>
      <c r="BH301">
        <f t="shared" si="19"/>
        <v>1</v>
      </c>
    </row>
    <row r="302" spans="57:60" x14ac:dyDescent="0.2">
      <c r="BE302" t="s">
        <v>574</v>
      </c>
      <c r="BF302">
        <v>2017</v>
      </c>
      <c r="BG302">
        <f>AZ102</f>
        <v>9</v>
      </c>
      <c r="BH302">
        <f t="shared" si="19"/>
        <v>0</v>
      </c>
    </row>
    <row r="303" spans="57:60" x14ac:dyDescent="0.2">
      <c r="BE303" t="s">
        <v>574</v>
      </c>
      <c r="BF303">
        <v>2018</v>
      </c>
      <c r="BG303">
        <f>BA102</f>
        <v>13</v>
      </c>
      <c r="BH303">
        <f t="shared" si="19"/>
        <v>1</v>
      </c>
    </row>
    <row r="304" spans="57:60" x14ac:dyDescent="0.2">
      <c r="BE304" t="s">
        <v>574</v>
      </c>
      <c r="BF304">
        <v>2019</v>
      </c>
      <c r="BG304">
        <f>BB102</f>
        <v>11</v>
      </c>
      <c r="BH304">
        <f t="shared" si="19"/>
        <v>0</v>
      </c>
    </row>
    <row r="305" spans="57:60" x14ac:dyDescent="0.2">
      <c r="BE305" t="s">
        <v>691</v>
      </c>
      <c r="BF305">
        <v>2017</v>
      </c>
      <c r="BG305">
        <f>AZ103</f>
        <v>17</v>
      </c>
      <c r="BH305">
        <f t="shared" si="19"/>
        <v>1</v>
      </c>
    </row>
    <row r="306" spans="57:60" x14ac:dyDescent="0.2">
      <c r="BE306" t="s">
        <v>691</v>
      </c>
      <c r="BF306">
        <v>2018</v>
      </c>
      <c r="BG306">
        <f>BA103</f>
        <v>16</v>
      </c>
      <c r="BH306">
        <f t="shared" si="19"/>
        <v>1</v>
      </c>
    </row>
    <row r="307" spans="57:60" x14ac:dyDescent="0.2">
      <c r="BE307" t="s">
        <v>691</v>
      </c>
      <c r="BF307">
        <v>2019</v>
      </c>
      <c r="BG307">
        <f>BB103</f>
        <v>16</v>
      </c>
      <c r="BH307">
        <f t="shared" si="19"/>
        <v>1</v>
      </c>
    </row>
    <row r="308" spans="57:60" x14ac:dyDescent="0.2">
      <c r="BE308" t="s">
        <v>578</v>
      </c>
      <c r="BF308">
        <v>2017</v>
      </c>
      <c r="BG308">
        <f>AZ104</f>
        <v>16</v>
      </c>
      <c r="BH308">
        <f t="shared" si="19"/>
        <v>1</v>
      </c>
    </row>
    <row r="309" spans="57:60" x14ac:dyDescent="0.2">
      <c r="BE309" t="s">
        <v>578</v>
      </c>
      <c r="BF309">
        <v>2018</v>
      </c>
      <c r="BG309">
        <f>BA104</f>
        <v>16</v>
      </c>
      <c r="BH309">
        <f t="shared" si="19"/>
        <v>1</v>
      </c>
    </row>
    <row r="310" spans="57:60" x14ac:dyDescent="0.2">
      <c r="BE310" t="s">
        <v>578</v>
      </c>
      <c r="BF310">
        <v>2019</v>
      </c>
      <c r="BG310">
        <f>BB104</f>
        <v>16</v>
      </c>
      <c r="BH310">
        <f t="shared" si="19"/>
        <v>1</v>
      </c>
    </row>
    <row r="311" spans="57:60" x14ac:dyDescent="0.2">
      <c r="BE311" t="s">
        <v>205</v>
      </c>
      <c r="BF311">
        <v>2017</v>
      </c>
      <c r="BG311">
        <f>AZ105</f>
        <v>15</v>
      </c>
      <c r="BH311">
        <f t="shared" si="19"/>
        <v>1</v>
      </c>
    </row>
    <row r="312" spans="57:60" x14ac:dyDescent="0.2">
      <c r="BE312" t="s">
        <v>205</v>
      </c>
      <c r="BF312">
        <v>2018</v>
      </c>
      <c r="BG312">
        <f>BA105</f>
        <v>15</v>
      </c>
      <c r="BH312">
        <f t="shared" si="19"/>
        <v>1</v>
      </c>
    </row>
    <row r="313" spans="57:60" x14ac:dyDescent="0.2">
      <c r="BE313" t="s">
        <v>205</v>
      </c>
      <c r="BF313">
        <v>2019</v>
      </c>
      <c r="BG313">
        <f>BB105</f>
        <v>14</v>
      </c>
      <c r="BH313">
        <f t="shared" si="19"/>
        <v>1</v>
      </c>
    </row>
    <row r="314" spans="57:60" x14ac:dyDescent="0.2">
      <c r="BE314" t="s">
        <v>208</v>
      </c>
      <c r="BF314">
        <v>2017</v>
      </c>
      <c r="BG314">
        <f>AZ106</f>
        <v>18</v>
      </c>
      <c r="BH314">
        <f t="shared" si="19"/>
        <v>1</v>
      </c>
    </row>
    <row r="315" spans="57:60" x14ac:dyDescent="0.2">
      <c r="BE315" t="s">
        <v>208</v>
      </c>
      <c r="BF315">
        <v>2018</v>
      </c>
      <c r="BG315">
        <f>BA106</f>
        <v>18</v>
      </c>
      <c r="BH315">
        <f t="shared" si="19"/>
        <v>1</v>
      </c>
    </row>
    <row r="316" spans="57:60" x14ac:dyDescent="0.2">
      <c r="BE316" t="s">
        <v>208</v>
      </c>
      <c r="BF316">
        <v>2019</v>
      </c>
      <c r="BG316">
        <f>BB106</f>
        <v>18</v>
      </c>
      <c r="BH316">
        <f t="shared" si="19"/>
        <v>1</v>
      </c>
    </row>
    <row r="317" spans="57:60" x14ac:dyDescent="0.2">
      <c r="BE317" t="s">
        <v>841</v>
      </c>
      <c r="BF317">
        <v>2017</v>
      </c>
      <c r="BG317">
        <f>AZ107</f>
        <v>17</v>
      </c>
      <c r="BH317">
        <f t="shared" si="19"/>
        <v>1</v>
      </c>
    </row>
    <row r="318" spans="57:60" x14ac:dyDescent="0.2">
      <c r="BE318" t="s">
        <v>841</v>
      </c>
      <c r="BF318">
        <v>2018</v>
      </c>
      <c r="BG318">
        <f>BA107</f>
        <v>18</v>
      </c>
      <c r="BH318">
        <f t="shared" si="19"/>
        <v>1</v>
      </c>
    </row>
    <row r="319" spans="57:60" x14ac:dyDescent="0.2">
      <c r="BE319" t="s">
        <v>841</v>
      </c>
      <c r="BF319">
        <v>2019</v>
      </c>
      <c r="BG319">
        <f>BB107</f>
        <v>17</v>
      </c>
      <c r="BH319">
        <f t="shared" si="19"/>
        <v>1</v>
      </c>
    </row>
    <row r="320" spans="57:60" x14ac:dyDescent="0.2">
      <c r="BE320" t="s">
        <v>843</v>
      </c>
      <c r="BF320">
        <v>2017</v>
      </c>
      <c r="BG320">
        <f>AZ108</f>
        <v>15</v>
      </c>
      <c r="BH320">
        <f t="shared" si="19"/>
        <v>1</v>
      </c>
    </row>
    <row r="321" spans="57:60" x14ac:dyDescent="0.2">
      <c r="BE321" t="s">
        <v>843</v>
      </c>
      <c r="BF321">
        <v>2018</v>
      </c>
      <c r="BG321">
        <f>BA108</f>
        <v>15</v>
      </c>
      <c r="BH321">
        <f t="shared" si="19"/>
        <v>1</v>
      </c>
    </row>
    <row r="322" spans="57:60" x14ac:dyDescent="0.2">
      <c r="BE322" t="s">
        <v>843</v>
      </c>
      <c r="BF322">
        <v>2019</v>
      </c>
      <c r="BG322">
        <f>BB108</f>
        <v>15</v>
      </c>
      <c r="BH322">
        <f t="shared" ref="BH322:BH385" si="20">IF(BG322&gt;=BC$2,1,0)</f>
        <v>1</v>
      </c>
    </row>
    <row r="323" spans="57:60" x14ac:dyDescent="0.2">
      <c r="BE323" t="s">
        <v>491</v>
      </c>
      <c r="BF323">
        <v>2017</v>
      </c>
      <c r="BG323">
        <f>AZ109</f>
        <v>13</v>
      </c>
      <c r="BH323">
        <f t="shared" si="20"/>
        <v>1</v>
      </c>
    </row>
    <row r="324" spans="57:60" x14ac:dyDescent="0.2">
      <c r="BE324" t="s">
        <v>491</v>
      </c>
      <c r="BF324">
        <v>2018</v>
      </c>
      <c r="BG324">
        <f>BA109</f>
        <v>13</v>
      </c>
      <c r="BH324">
        <f t="shared" si="20"/>
        <v>1</v>
      </c>
    </row>
    <row r="325" spans="57:60" x14ac:dyDescent="0.2">
      <c r="BE325" t="s">
        <v>491</v>
      </c>
      <c r="BF325">
        <v>2019</v>
      </c>
      <c r="BG325">
        <f>BB109</f>
        <v>13</v>
      </c>
      <c r="BH325">
        <f t="shared" si="20"/>
        <v>1</v>
      </c>
    </row>
    <row r="326" spans="57:60" x14ac:dyDescent="0.2">
      <c r="BE326" t="s">
        <v>112</v>
      </c>
      <c r="BF326">
        <v>2017</v>
      </c>
      <c r="BG326">
        <f>AZ110</f>
        <v>15</v>
      </c>
      <c r="BH326">
        <f t="shared" si="20"/>
        <v>1</v>
      </c>
    </row>
    <row r="327" spans="57:60" x14ac:dyDescent="0.2">
      <c r="BE327" t="s">
        <v>112</v>
      </c>
      <c r="BF327">
        <v>2018</v>
      </c>
      <c r="BG327">
        <f>BA110</f>
        <v>14</v>
      </c>
      <c r="BH327">
        <f t="shared" si="20"/>
        <v>1</v>
      </c>
    </row>
    <row r="328" spans="57:60" x14ac:dyDescent="0.2">
      <c r="BE328" t="s">
        <v>112</v>
      </c>
      <c r="BF328">
        <v>2019</v>
      </c>
      <c r="BG328">
        <f>BB110</f>
        <v>14</v>
      </c>
      <c r="BH328">
        <f t="shared" si="20"/>
        <v>1</v>
      </c>
    </row>
    <row r="329" spans="57:60" x14ac:dyDescent="0.2">
      <c r="BE329" t="s">
        <v>210</v>
      </c>
      <c r="BF329">
        <v>2017</v>
      </c>
      <c r="BG329">
        <f>AZ111</f>
        <v>18</v>
      </c>
      <c r="BH329">
        <f t="shared" si="20"/>
        <v>1</v>
      </c>
    </row>
    <row r="330" spans="57:60" x14ac:dyDescent="0.2">
      <c r="BE330" t="s">
        <v>210</v>
      </c>
      <c r="BF330">
        <v>2018</v>
      </c>
      <c r="BG330">
        <f>BA111</f>
        <v>18</v>
      </c>
      <c r="BH330">
        <f t="shared" si="20"/>
        <v>1</v>
      </c>
    </row>
    <row r="331" spans="57:60" x14ac:dyDescent="0.2">
      <c r="BE331" t="s">
        <v>210</v>
      </c>
      <c r="BF331">
        <v>2019</v>
      </c>
      <c r="BG331">
        <f>BB111</f>
        <v>18</v>
      </c>
      <c r="BH331">
        <f t="shared" si="20"/>
        <v>1</v>
      </c>
    </row>
    <row r="332" spans="57:60" x14ac:dyDescent="0.2">
      <c r="BE332" t="s">
        <v>845</v>
      </c>
      <c r="BF332">
        <v>2017</v>
      </c>
      <c r="BG332">
        <f>AZ112</f>
        <v>16</v>
      </c>
      <c r="BH332">
        <f t="shared" si="20"/>
        <v>1</v>
      </c>
    </row>
    <row r="333" spans="57:60" x14ac:dyDescent="0.2">
      <c r="BE333" t="s">
        <v>845</v>
      </c>
      <c r="BF333">
        <v>2018</v>
      </c>
      <c r="BG333">
        <f>BA112</f>
        <v>15</v>
      </c>
      <c r="BH333">
        <f t="shared" si="20"/>
        <v>1</v>
      </c>
    </row>
    <row r="334" spans="57:60" x14ac:dyDescent="0.2">
      <c r="BE334" t="s">
        <v>845</v>
      </c>
      <c r="BF334">
        <v>2019</v>
      </c>
      <c r="BG334">
        <f>BB112</f>
        <v>16</v>
      </c>
      <c r="BH334">
        <f t="shared" si="20"/>
        <v>1</v>
      </c>
    </row>
    <row r="335" spans="57:60" x14ac:dyDescent="0.2">
      <c r="BE335" t="s">
        <v>115</v>
      </c>
      <c r="BF335">
        <v>2017</v>
      </c>
      <c r="BG335">
        <f>AZ113</f>
        <v>16</v>
      </c>
      <c r="BH335">
        <f t="shared" si="20"/>
        <v>1</v>
      </c>
    </row>
    <row r="336" spans="57:60" x14ac:dyDescent="0.2">
      <c r="BE336" t="s">
        <v>115</v>
      </c>
      <c r="BF336">
        <v>2018</v>
      </c>
      <c r="BG336">
        <f>BA113</f>
        <v>13</v>
      </c>
      <c r="BH336">
        <f t="shared" si="20"/>
        <v>1</v>
      </c>
    </row>
    <row r="337" spans="57:60" x14ac:dyDescent="0.2">
      <c r="BE337" t="s">
        <v>115</v>
      </c>
      <c r="BF337">
        <v>2019</v>
      </c>
      <c r="BG337">
        <f>BB113</f>
        <v>13</v>
      </c>
      <c r="BH337">
        <f t="shared" si="20"/>
        <v>1</v>
      </c>
    </row>
    <row r="338" spans="57:60" x14ac:dyDescent="0.2">
      <c r="BE338" t="s">
        <v>487</v>
      </c>
      <c r="BF338">
        <v>2017</v>
      </c>
      <c r="BG338">
        <f>AZ114</f>
        <v>12</v>
      </c>
      <c r="BH338">
        <f t="shared" si="20"/>
        <v>0</v>
      </c>
    </row>
    <row r="339" spans="57:60" x14ac:dyDescent="0.2">
      <c r="BE339" t="s">
        <v>487</v>
      </c>
      <c r="BF339">
        <v>2018</v>
      </c>
      <c r="BG339">
        <f>BA114</f>
        <v>13</v>
      </c>
      <c r="BH339">
        <f t="shared" si="20"/>
        <v>1</v>
      </c>
    </row>
    <row r="340" spans="57:60" x14ac:dyDescent="0.2">
      <c r="BE340" t="s">
        <v>487</v>
      </c>
      <c r="BF340">
        <v>2019</v>
      </c>
      <c r="BG340">
        <f>BB114</f>
        <v>13</v>
      </c>
      <c r="BH340">
        <f t="shared" si="20"/>
        <v>1</v>
      </c>
    </row>
    <row r="341" spans="57:60" x14ac:dyDescent="0.2">
      <c r="BE341" t="s">
        <v>310</v>
      </c>
      <c r="BF341">
        <v>2017</v>
      </c>
      <c r="BG341">
        <f>AZ115</f>
        <v>10</v>
      </c>
      <c r="BH341">
        <f t="shared" si="20"/>
        <v>0</v>
      </c>
    </row>
    <row r="342" spans="57:60" x14ac:dyDescent="0.2">
      <c r="BE342" t="s">
        <v>310</v>
      </c>
      <c r="BF342">
        <v>2018</v>
      </c>
      <c r="BG342">
        <f>BA115</f>
        <v>10</v>
      </c>
      <c r="BH342">
        <f t="shared" si="20"/>
        <v>0</v>
      </c>
    </row>
    <row r="343" spans="57:60" x14ac:dyDescent="0.2">
      <c r="BE343" t="s">
        <v>310</v>
      </c>
      <c r="BF343">
        <v>2019</v>
      </c>
      <c r="BG343">
        <f>BB115</f>
        <v>11</v>
      </c>
      <c r="BH343">
        <f t="shared" si="20"/>
        <v>0</v>
      </c>
    </row>
    <row r="344" spans="57:60" x14ac:dyDescent="0.2">
      <c r="BE344" t="s">
        <v>584</v>
      </c>
      <c r="BF344">
        <v>2017</v>
      </c>
      <c r="BG344">
        <f>AZ116</f>
        <v>17</v>
      </c>
      <c r="BH344">
        <f t="shared" si="20"/>
        <v>1</v>
      </c>
    </row>
    <row r="345" spans="57:60" x14ac:dyDescent="0.2">
      <c r="BE345" t="s">
        <v>584</v>
      </c>
      <c r="BF345">
        <v>2018</v>
      </c>
      <c r="BG345">
        <f>BA116</f>
        <v>17</v>
      </c>
      <c r="BH345">
        <f t="shared" si="20"/>
        <v>1</v>
      </c>
    </row>
    <row r="346" spans="57:60" x14ac:dyDescent="0.2">
      <c r="BE346" t="s">
        <v>584</v>
      </c>
      <c r="BF346">
        <v>2019</v>
      </c>
      <c r="BG346">
        <f>BB116</f>
        <v>18</v>
      </c>
      <c r="BH346">
        <f t="shared" si="20"/>
        <v>1</v>
      </c>
    </row>
    <row r="347" spans="57:60" x14ac:dyDescent="0.2">
      <c r="BE347" t="s">
        <v>314</v>
      </c>
      <c r="BF347">
        <v>2017</v>
      </c>
      <c r="BG347">
        <f>AZ117</f>
        <v>8</v>
      </c>
      <c r="BH347">
        <f t="shared" si="20"/>
        <v>0</v>
      </c>
    </row>
    <row r="348" spans="57:60" x14ac:dyDescent="0.2">
      <c r="BE348" t="s">
        <v>314</v>
      </c>
      <c r="BF348">
        <v>2018</v>
      </c>
      <c r="BG348">
        <f>BA117</f>
        <v>8</v>
      </c>
      <c r="BH348">
        <f t="shared" si="20"/>
        <v>0</v>
      </c>
    </row>
    <row r="349" spans="57:60" x14ac:dyDescent="0.2">
      <c r="BE349" t="s">
        <v>314</v>
      </c>
      <c r="BF349">
        <v>2019</v>
      </c>
      <c r="BG349">
        <f>BB117</f>
        <v>8</v>
      </c>
      <c r="BH349">
        <f t="shared" si="20"/>
        <v>0</v>
      </c>
    </row>
    <row r="350" spans="57:60" x14ac:dyDescent="0.2">
      <c r="BE350" t="s">
        <v>850</v>
      </c>
      <c r="BF350">
        <v>2017</v>
      </c>
      <c r="BG350">
        <f>AZ118</f>
        <v>15</v>
      </c>
      <c r="BH350">
        <f t="shared" si="20"/>
        <v>1</v>
      </c>
    </row>
    <row r="351" spans="57:60" x14ac:dyDescent="0.2">
      <c r="BE351" t="s">
        <v>850</v>
      </c>
      <c r="BF351">
        <v>2018</v>
      </c>
      <c r="BG351">
        <f>BA118</f>
        <v>18</v>
      </c>
      <c r="BH351">
        <f t="shared" si="20"/>
        <v>1</v>
      </c>
    </row>
    <row r="352" spans="57:60" x14ac:dyDescent="0.2">
      <c r="BE352" t="s">
        <v>850</v>
      </c>
      <c r="BF352">
        <v>2019</v>
      </c>
      <c r="BG352">
        <f>BB118</f>
        <v>19</v>
      </c>
      <c r="BH352">
        <f t="shared" si="20"/>
        <v>1</v>
      </c>
    </row>
    <row r="353" spans="57:60" x14ac:dyDescent="0.2">
      <c r="BE353" t="s">
        <v>588</v>
      </c>
      <c r="BF353">
        <v>2017</v>
      </c>
      <c r="BG353">
        <f>AZ119</f>
        <v>14</v>
      </c>
      <c r="BH353">
        <f t="shared" si="20"/>
        <v>1</v>
      </c>
    </row>
    <row r="354" spans="57:60" x14ac:dyDescent="0.2">
      <c r="BE354" t="s">
        <v>588</v>
      </c>
      <c r="BF354">
        <v>2018</v>
      </c>
      <c r="BG354">
        <f>BA119</f>
        <v>13</v>
      </c>
      <c r="BH354">
        <f t="shared" si="20"/>
        <v>1</v>
      </c>
    </row>
    <row r="355" spans="57:60" x14ac:dyDescent="0.2">
      <c r="BE355" t="s">
        <v>588</v>
      </c>
      <c r="BF355">
        <v>2019</v>
      </c>
      <c r="BG355">
        <f>BB119</f>
        <v>13</v>
      </c>
      <c r="BH355">
        <f t="shared" si="20"/>
        <v>1</v>
      </c>
    </row>
    <row r="356" spans="57:60" x14ac:dyDescent="0.2">
      <c r="BE356" t="s">
        <v>119</v>
      </c>
      <c r="BF356">
        <v>2017</v>
      </c>
      <c r="BG356">
        <f>AZ120</f>
        <v>16</v>
      </c>
      <c r="BH356">
        <f t="shared" si="20"/>
        <v>1</v>
      </c>
    </row>
    <row r="357" spans="57:60" x14ac:dyDescent="0.2">
      <c r="BE357" t="s">
        <v>119</v>
      </c>
      <c r="BF357">
        <v>2018</v>
      </c>
      <c r="BG357">
        <f>BA120</f>
        <v>15</v>
      </c>
      <c r="BH357">
        <f t="shared" si="20"/>
        <v>1</v>
      </c>
    </row>
    <row r="358" spans="57:60" x14ac:dyDescent="0.2">
      <c r="BE358" t="s">
        <v>119</v>
      </c>
      <c r="BF358">
        <v>2019</v>
      </c>
      <c r="BG358">
        <f>BB120</f>
        <v>14</v>
      </c>
      <c r="BH358">
        <f t="shared" si="20"/>
        <v>1</v>
      </c>
    </row>
    <row r="359" spans="57:60" x14ac:dyDescent="0.2">
      <c r="BE359" t="s">
        <v>320</v>
      </c>
      <c r="BF359">
        <v>2017</v>
      </c>
      <c r="BG359">
        <f>AZ121</f>
        <v>11</v>
      </c>
      <c r="BH359">
        <f t="shared" si="20"/>
        <v>0</v>
      </c>
    </row>
    <row r="360" spans="57:60" x14ac:dyDescent="0.2">
      <c r="BE360" t="s">
        <v>320</v>
      </c>
      <c r="BF360">
        <v>2018</v>
      </c>
      <c r="BG360">
        <f>BA121</f>
        <v>11</v>
      </c>
      <c r="BH360">
        <f t="shared" si="20"/>
        <v>0</v>
      </c>
    </row>
    <row r="361" spans="57:60" x14ac:dyDescent="0.2">
      <c r="BE361" t="s">
        <v>320</v>
      </c>
      <c r="BF361">
        <v>2019</v>
      </c>
      <c r="BG361">
        <f>BB121</f>
        <v>11</v>
      </c>
      <c r="BH361">
        <f t="shared" si="20"/>
        <v>0</v>
      </c>
    </row>
    <row r="362" spans="57:60" x14ac:dyDescent="0.2">
      <c r="BE362" t="s">
        <v>212</v>
      </c>
      <c r="BF362">
        <v>2017</v>
      </c>
      <c r="BG362">
        <f>AZ122</f>
        <v>13</v>
      </c>
      <c r="BH362">
        <f t="shared" si="20"/>
        <v>1</v>
      </c>
    </row>
    <row r="363" spans="57:60" x14ac:dyDescent="0.2">
      <c r="BE363" t="s">
        <v>212</v>
      </c>
      <c r="BF363">
        <v>2018</v>
      </c>
      <c r="BG363">
        <f>BA122</f>
        <v>12</v>
      </c>
      <c r="BH363">
        <f t="shared" si="20"/>
        <v>0</v>
      </c>
    </row>
    <row r="364" spans="57:60" x14ac:dyDescent="0.2">
      <c r="BE364" t="s">
        <v>212</v>
      </c>
      <c r="BF364">
        <v>2019</v>
      </c>
      <c r="BG364">
        <f>BB122</f>
        <v>12</v>
      </c>
      <c r="BH364">
        <f t="shared" si="20"/>
        <v>0</v>
      </c>
    </row>
    <row r="365" spans="57:60" x14ac:dyDescent="0.2">
      <c r="BE365" t="s">
        <v>215</v>
      </c>
      <c r="BF365">
        <v>2017</v>
      </c>
      <c r="BG365">
        <f>AZ123</f>
        <v>17</v>
      </c>
      <c r="BH365">
        <f t="shared" si="20"/>
        <v>1</v>
      </c>
    </row>
    <row r="366" spans="57:60" x14ac:dyDescent="0.2">
      <c r="BE366" t="s">
        <v>215</v>
      </c>
      <c r="BF366">
        <v>2018</v>
      </c>
      <c r="BG366">
        <f>BA123</f>
        <v>17</v>
      </c>
      <c r="BH366">
        <f t="shared" si="20"/>
        <v>1</v>
      </c>
    </row>
    <row r="367" spans="57:60" x14ac:dyDescent="0.2">
      <c r="BE367" t="s">
        <v>215</v>
      </c>
      <c r="BF367">
        <v>2019</v>
      </c>
      <c r="BG367">
        <f>BB123</f>
        <v>16</v>
      </c>
      <c r="BH367">
        <f t="shared" si="20"/>
        <v>1</v>
      </c>
    </row>
    <row r="368" spans="57:60" x14ac:dyDescent="0.2">
      <c r="BE368" t="s">
        <v>391</v>
      </c>
      <c r="BF368">
        <v>2017</v>
      </c>
      <c r="BG368">
        <f>AZ124</f>
        <v>13</v>
      </c>
      <c r="BH368">
        <f t="shared" si="20"/>
        <v>1</v>
      </c>
    </row>
    <row r="369" spans="57:60" x14ac:dyDescent="0.2">
      <c r="BE369" t="s">
        <v>391</v>
      </c>
      <c r="BF369">
        <v>2018</v>
      </c>
      <c r="BG369">
        <f>BA124</f>
        <v>12</v>
      </c>
      <c r="BH369">
        <f t="shared" si="20"/>
        <v>0</v>
      </c>
    </row>
    <row r="370" spans="57:60" x14ac:dyDescent="0.2">
      <c r="BE370" t="s">
        <v>391</v>
      </c>
      <c r="BF370">
        <v>2019</v>
      </c>
      <c r="BG370">
        <f>BB124</f>
        <v>14</v>
      </c>
      <c r="BH370">
        <f t="shared" si="20"/>
        <v>1</v>
      </c>
    </row>
    <row r="371" spans="57:60" x14ac:dyDescent="0.2">
      <c r="BE371" t="s">
        <v>325</v>
      </c>
      <c r="BF371">
        <v>2017</v>
      </c>
      <c r="BG371">
        <f>AZ125</f>
        <v>11</v>
      </c>
      <c r="BH371">
        <f t="shared" si="20"/>
        <v>0</v>
      </c>
    </row>
    <row r="372" spans="57:60" x14ac:dyDescent="0.2">
      <c r="BE372" t="s">
        <v>325</v>
      </c>
      <c r="BF372">
        <v>2018</v>
      </c>
      <c r="BG372">
        <f>BA125</f>
        <v>11</v>
      </c>
      <c r="BH372">
        <f t="shared" si="20"/>
        <v>0</v>
      </c>
    </row>
    <row r="373" spans="57:60" x14ac:dyDescent="0.2">
      <c r="BE373" t="s">
        <v>325</v>
      </c>
      <c r="BF373">
        <v>2019</v>
      </c>
      <c r="BG373">
        <f>BB125</f>
        <v>11</v>
      </c>
      <c r="BH373">
        <f t="shared" si="20"/>
        <v>0</v>
      </c>
    </row>
    <row r="374" spans="57:60" x14ac:dyDescent="0.2">
      <c r="BE374" t="s">
        <v>329</v>
      </c>
      <c r="BF374">
        <v>2017</v>
      </c>
      <c r="BG374">
        <f>AZ126</f>
        <v>10</v>
      </c>
      <c r="BH374">
        <f t="shared" si="20"/>
        <v>0</v>
      </c>
    </row>
    <row r="375" spans="57:60" x14ac:dyDescent="0.2">
      <c r="BE375" t="s">
        <v>329</v>
      </c>
      <c r="BF375">
        <v>2018</v>
      </c>
      <c r="BG375">
        <f>BA126</f>
        <v>9</v>
      </c>
      <c r="BH375">
        <f t="shared" si="20"/>
        <v>0</v>
      </c>
    </row>
    <row r="376" spans="57:60" x14ac:dyDescent="0.2">
      <c r="BE376" t="s">
        <v>329</v>
      </c>
      <c r="BF376">
        <v>2019</v>
      </c>
      <c r="BG376">
        <f>BB126</f>
        <v>8</v>
      </c>
      <c r="BH376">
        <f t="shared" si="20"/>
        <v>0</v>
      </c>
    </row>
    <row r="377" spans="57:60" x14ac:dyDescent="0.2">
      <c r="BE377" t="s">
        <v>397</v>
      </c>
      <c r="BF377">
        <v>2017</v>
      </c>
      <c r="BG377">
        <f>AZ127</f>
        <v>13</v>
      </c>
      <c r="BH377">
        <f t="shared" si="20"/>
        <v>1</v>
      </c>
    </row>
    <row r="378" spans="57:60" x14ac:dyDescent="0.2">
      <c r="BE378" t="s">
        <v>397</v>
      </c>
      <c r="BF378">
        <v>2018</v>
      </c>
      <c r="BG378">
        <f>BA127</f>
        <v>12</v>
      </c>
      <c r="BH378">
        <f t="shared" si="20"/>
        <v>0</v>
      </c>
    </row>
    <row r="379" spans="57:60" x14ac:dyDescent="0.2">
      <c r="BE379" t="s">
        <v>397</v>
      </c>
      <c r="BF379">
        <v>2019</v>
      </c>
      <c r="BG379">
        <f>BB127</f>
        <v>12</v>
      </c>
      <c r="BH379">
        <f t="shared" si="20"/>
        <v>0</v>
      </c>
    </row>
    <row r="380" spans="57:60" x14ac:dyDescent="0.2">
      <c r="BE380" t="s">
        <v>857</v>
      </c>
      <c r="BF380">
        <v>2017</v>
      </c>
      <c r="BG380">
        <f>AZ128</f>
        <v>11</v>
      </c>
      <c r="BH380">
        <f t="shared" si="20"/>
        <v>0</v>
      </c>
    </row>
    <row r="381" spans="57:60" x14ac:dyDescent="0.2">
      <c r="BE381" t="s">
        <v>857</v>
      </c>
      <c r="BF381">
        <v>2018</v>
      </c>
      <c r="BG381">
        <f>BA128</f>
        <v>12</v>
      </c>
      <c r="BH381">
        <f t="shared" si="20"/>
        <v>0</v>
      </c>
    </row>
    <row r="382" spans="57:60" x14ac:dyDescent="0.2">
      <c r="BE382" t="s">
        <v>857</v>
      </c>
      <c r="BF382">
        <v>2019</v>
      </c>
      <c r="BG382">
        <f>BB128</f>
        <v>13</v>
      </c>
      <c r="BH382">
        <f t="shared" si="20"/>
        <v>1</v>
      </c>
    </row>
    <row r="383" spans="57:60" x14ac:dyDescent="0.2">
      <c r="BE383" t="s">
        <v>502</v>
      </c>
      <c r="BF383">
        <v>2017</v>
      </c>
      <c r="BG383">
        <f>AZ129</f>
        <v>11</v>
      </c>
      <c r="BH383">
        <f t="shared" si="20"/>
        <v>0</v>
      </c>
    </row>
    <row r="384" spans="57:60" x14ac:dyDescent="0.2">
      <c r="BE384" t="s">
        <v>502</v>
      </c>
      <c r="BF384">
        <v>2018</v>
      </c>
      <c r="BG384">
        <f>BA129</f>
        <v>10</v>
      </c>
      <c r="BH384">
        <f t="shared" si="20"/>
        <v>0</v>
      </c>
    </row>
    <row r="385" spans="57:60" x14ac:dyDescent="0.2">
      <c r="BE385" t="s">
        <v>502</v>
      </c>
      <c r="BF385">
        <v>2019</v>
      </c>
      <c r="BG385">
        <f>BB129</f>
        <v>12</v>
      </c>
      <c r="BH385">
        <f t="shared" si="20"/>
        <v>0</v>
      </c>
    </row>
    <row r="386" spans="57:60" x14ac:dyDescent="0.2">
      <c r="BE386" t="s">
        <v>219</v>
      </c>
      <c r="BF386">
        <v>2017</v>
      </c>
      <c r="BG386">
        <f>AZ130</f>
        <v>17</v>
      </c>
      <c r="BH386">
        <f t="shared" ref="BH386:BH406" si="21">IF(BG386&gt;=BC$2,1,0)</f>
        <v>1</v>
      </c>
    </row>
    <row r="387" spans="57:60" x14ac:dyDescent="0.2">
      <c r="BE387" t="s">
        <v>219</v>
      </c>
      <c r="BF387">
        <v>2018</v>
      </c>
      <c r="BG387">
        <f>BA130</f>
        <v>17</v>
      </c>
      <c r="BH387">
        <f t="shared" si="21"/>
        <v>1</v>
      </c>
    </row>
    <row r="388" spans="57:60" x14ac:dyDescent="0.2">
      <c r="BE388" t="s">
        <v>219</v>
      </c>
      <c r="BF388">
        <v>2019</v>
      </c>
      <c r="BG388">
        <f>BB130</f>
        <v>16</v>
      </c>
      <c r="BH388">
        <f t="shared" si="21"/>
        <v>1</v>
      </c>
    </row>
    <row r="389" spans="57:60" x14ac:dyDescent="0.2">
      <c r="BE389" t="s">
        <v>506</v>
      </c>
      <c r="BF389">
        <v>2017</v>
      </c>
      <c r="BG389">
        <f>AZ131</f>
        <v>11</v>
      </c>
      <c r="BH389">
        <f t="shared" si="21"/>
        <v>0</v>
      </c>
    </row>
    <row r="390" spans="57:60" x14ac:dyDescent="0.2">
      <c r="BE390" t="s">
        <v>506</v>
      </c>
      <c r="BF390">
        <v>2018</v>
      </c>
      <c r="BG390">
        <f>BA131</f>
        <v>11</v>
      </c>
      <c r="BH390">
        <f t="shared" si="21"/>
        <v>0</v>
      </c>
    </row>
    <row r="391" spans="57:60" x14ac:dyDescent="0.2">
      <c r="BE391" t="s">
        <v>506</v>
      </c>
      <c r="BF391">
        <v>2019</v>
      </c>
      <c r="BG391">
        <f>BB131</f>
        <v>12</v>
      </c>
      <c r="BH391">
        <f t="shared" si="21"/>
        <v>0</v>
      </c>
    </row>
    <row r="392" spans="57:60" x14ac:dyDescent="0.2">
      <c r="BE392" t="s">
        <v>131</v>
      </c>
      <c r="BF392">
        <v>2017</v>
      </c>
      <c r="BG392">
        <f>AZ132</f>
        <v>12</v>
      </c>
      <c r="BH392">
        <f t="shared" si="21"/>
        <v>0</v>
      </c>
    </row>
    <row r="393" spans="57:60" x14ac:dyDescent="0.2">
      <c r="BE393" t="s">
        <v>131</v>
      </c>
      <c r="BF393">
        <v>2018</v>
      </c>
      <c r="BG393">
        <f>BA132</f>
        <v>12</v>
      </c>
      <c r="BH393">
        <f t="shared" si="21"/>
        <v>0</v>
      </c>
    </row>
    <row r="394" spans="57:60" x14ac:dyDescent="0.2">
      <c r="BE394" t="s">
        <v>131</v>
      </c>
      <c r="BF394">
        <v>2019</v>
      </c>
      <c r="BG394">
        <f>BB132</f>
        <v>11</v>
      </c>
      <c r="BH394">
        <f t="shared" si="21"/>
        <v>0</v>
      </c>
    </row>
    <row r="395" spans="57:60" x14ac:dyDescent="0.2">
      <c r="BE395" t="s">
        <v>860</v>
      </c>
      <c r="BF395">
        <v>2017</v>
      </c>
      <c r="BG395">
        <f>AZ133</f>
        <v>14</v>
      </c>
      <c r="BH395">
        <f t="shared" si="21"/>
        <v>1</v>
      </c>
    </row>
    <row r="396" spans="57:60" x14ac:dyDescent="0.2">
      <c r="BE396" t="s">
        <v>860</v>
      </c>
      <c r="BF396">
        <v>2018</v>
      </c>
      <c r="BG396">
        <f>BA133</f>
        <v>14</v>
      </c>
      <c r="BH396">
        <f t="shared" si="21"/>
        <v>1</v>
      </c>
    </row>
    <row r="397" spans="57:60" x14ac:dyDescent="0.2">
      <c r="BE397" t="s">
        <v>860</v>
      </c>
      <c r="BF397">
        <v>2019</v>
      </c>
      <c r="BG397">
        <f>BB133</f>
        <v>14</v>
      </c>
      <c r="BH397">
        <f t="shared" si="21"/>
        <v>1</v>
      </c>
    </row>
    <row r="398" spans="57:60" x14ac:dyDescent="0.2">
      <c r="BE398" t="s">
        <v>223</v>
      </c>
      <c r="BF398">
        <v>2017</v>
      </c>
      <c r="BG398">
        <f>AZ134</f>
        <v>15</v>
      </c>
      <c r="BH398">
        <f t="shared" si="21"/>
        <v>1</v>
      </c>
    </row>
    <row r="399" spans="57:60" x14ac:dyDescent="0.2">
      <c r="BE399" t="s">
        <v>223</v>
      </c>
      <c r="BF399">
        <v>2018</v>
      </c>
      <c r="BG399">
        <f>BA134</f>
        <v>14</v>
      </c>
      <c r="BH399">
        <f t="shared" si="21"/>
        <v>1</v>
      </c>
    </row>
    <row r="400" spans="57:60" x14ac:dyDescent="0.2">
      <c r="BE400" t="s">
        <v>223</v>
      </c>
      <c r="BF400">
        <v>2019</v>
      </c>
      <c r="BG400">
        <f>BB134</f>
        <v>14</v>
      </c>
      <c r="BH400">
        <f t="shared" si="21"/>
        <v>1</v>
      </c>
    </row>
    <row r="401" spans="57:60" x14ac:dyDescent="0.2">
      <c r="BE401" t="s">
        <v>595</v>
      </c>
      <c r="BF401">
        <v>2017</v>
      </c>
      <c r="BG401">
        <f>AZ135</f>
        <v>15</v>
      </c>
      <c r="BH401">
        <f t="shared" si="21"/>
        <v>1</v>
      </c>
    </row>
    <row r="402" spans="57:60" x14ac:dyDescent="0.2">
      <c r="BE402" t="s">
        <v>595</v>
      </c>
      <c r="BF402">
        <v>2018</v>
      </c>
      <c r="BG402">
        <f>BA135</f>
        <v>14</v>
      </c>
      <c r="BH402">
        <f t="shared" si="21"/>
        <v>1</v>
      </c>
    </row>
    <row r="403" spans="57:60" x14ac:dyDescent="0.2">
      <c r="BE403" t="s">
        <v>595</v>
      </c>
      <c r="BF403">
        <v>2019</v>
      </c>
      <c r="BG403">
        <f>BB135</f>
        <v>14</v>
      </c>
      <c r="BH403">
        <f t="shared" si="21"/>
        <v>1</v>
      </c>
    </row>
    <row r="404" spans="57:60" x14ac:dyDescent="0.2">
      <c r="BE404" t="s">
        <v>337</v>
      </c>
      <c r="BF404">
        <v>2017</v>
      </c>
      <c r="BG404">
        <f>AZ136</f>
        <v>8</v>
      </c>
      <c r="BH404">
        <f t="shared" si="21"/>
        <v>0</v>
      </c>
    </row>
    <row r="405" spans="57:60" x14ac:dyDescent="0.2">
      <c r="BE405" t="s">
        <v>337</v>
      </c>
      <c r="BF405">
        <v>2018</v>
      </c>
      <c r="BG405">
        <f>BA136</f>
        <v>9</v>
      </c>
      <c r="BH405">
        <f t="shared" si="21"/>
        <v>0</v>
      </c>
    </row>
    <row r="406" spans="57:60" x14ac:dyDescent="0.2">
      <c r="BE406" t="s">
        <v>337</v>
      </c>
      <c r="BF406">
        <v>2019</v>
      </c>
      <c r="BG406">
        <f>BB136</f>
        <v>9</v>
      </c>
      <c r="BH406">
        <f t="shared" si="21"/>
        <v>0</v>
      </c>
    </row>
  </sheetData>
  <sortState ref="AU2:AW136">
    <sortCondition ref="AU2:AU13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Sampel</vt:lpstr>
      <vt:lpstr>X1</vt:lpstr>
      <vt:lpstr>X2</vt:lpstr>
      <vt:lpstr>X3</vt:lpstr>
      <vt:lpstr>X3 (2)</vt:lpstr>
      <vt:lpstr>X3 (3)</vt:lpstr>
      <vt:lpstr>Z</vt:lpstr>
      <vt:lpstr>Y</vt:lpstr>
      <vt:lpstr>kuartil X3</vt:lpstr>
      <vt:lpstr>DATA</vt:lpstr>
      <vt:lpstr>OLAH 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Whiz Hotel</dc:creator>
  <cp:lastModifiedBy>ASUS</cp:lastModifiedBy>
  <dcterms:created xsi:type="dcterms:W3CDTF">2020-11-30T06:31:14Z</dcterms:created>
  <dcterms:modified xsi:type="dcterms:W3CDTF">2021-02-03T14:26:29Z</dcterms:modified>
</cp:coreProperties>
</file>