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teri pascasarjana\tesis\"/>
    </mc:Choice>
  </mc:AlternateContent>
  <bookViews>
    <workbookView xWindow="0" yWindow="0" windowWidth="15345" windowHeight="4545" firstSheet="5" activeTab="9"/>
  </bookViews>
  <sheets>
    <sheet name="delphi" sheetId="1" r:id="rId1"/>
    <sheet name="aspek market" sheetId="4" r:id="rId2"/>
    <sheet name="biaya investasi" sheetId="2" r:id="rId3"/>
    <sheet name="energi, SDM, maintanance" sheetId="6" r:id="rId4"/>
    <sheet name="depresiasi, bunga, asuransi" sheetId="7" r:id="rId5"/>
    <sheet name="tarif" sheetId="11" r:id="rId6"/>
    <sheet name="pendapatan" sheetId="5" r:id="rId7"/>
    <sheet name="laba rugi" sheetId="8" r:id="rId8"/>
    <sheet name="cashflow" sheetId="3" r:id="rId9"/>
    <sheet name="Sheet1" sheetId="12" r:id="rId10"/>
  </sheets>
  <definedNames>
    <definedName name="_xlnm._FilterDatabase" localSheetId="0" hidden="1">delphi!$C$3:$E$12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9" i="4" l="1"/>
  <c r="R55" i="4" l="1"/>
  <c r="F70" i="4"/>
  <c r="F72" i="4"/>
  <c r="E18" i="2" l="1"/>
  <c r="E17" i="2"/>
  <c r="D17" i="3" l="1"/>
  <c r="C17" i="3"/>
  <c r="E4" i="3"/>
  <c r="F4" i="3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4" i="3" s="1"/>
  <c r="AD4" i="3" s="1"/>
  <c r="AE4" i="3" s="1"/>
  <c r="AF4" i="3" s="1"/>
  <c r="AG4" i="3" s="1"/>
  <c r="AH4" i="3" s="1"/>
  <c r="Y90" i="4"/>
  <c r="Y98" i="4"/>
  <c r="Y89" i="4"/>
  <c r="D32" i="3"/>
  <c r="C32" i="3"/>
  <c r="C31" i="3"/>
  <c r="J49" i="7" l="1"/>
  <c r="M64" i="7"/>
  <c r="X9" i="8" l="1"/>
  <c r="Y9" i="8"/>
  <c r="Z9" i="8"/>
  <c r="AA9" i="8"/>
  <c r="AB9" i="8"/>
  <c r="AC9" i="8"/>
  <c r="AD9" i="8"/>
  <c r="AE9" i="8"/>
  <c r="AE12" i="8" s="1"/>
  <c r="AF9" i="8"/>
  <c r="AG9" i="8"/>
  <c r="X10" i="8"/>
  <c r="Y10" i="8"/>
  <c r="Z10" i="8"/>
  <c r="AA10" i="8"/>
  <c r="AB10" i="8"/>
  <c r="AB12" i="8" s="1"/>
  <c r="AC10" i="8"/>
  <c r="AD10" i="8"/>
  <c r="AE10" i="8"/>
  <c r="AF10" i="8"/>
  <c r="AG10" i="8"/>
  <c r="X11" i="8"/>
  <c r="Y11" i="8"/>
  <c r="Z11" i="8"/>
  <c r="AA11" i="8"/>
  <c r="AB11" i="8"/>
  <c r="AC11" i="8"/>
  <c r="AD11" i="8"/>
  <c r="AE11" i="8"/>
  <c r="AF11" i="8"/>
  <c r="AG11" i="8"/>
  <c r="X12" i="8"/>
  <c r="AA12" i="8"/>
  <c r="AF12" i="8"/>
  <c r="X14" i="8"/>
  <c r="Y14" i="8"/>
  <c r="Z14" i="8"/>
  <c r="AA14" i="8"/>
  <c r="AB14" i="8"/>
  <c r="AC14" i="8"/>
  <c r="AD14" i="8"/>
  <c r="AE14" i="8"/>
  <c r="AF14" i="8"/>
  <c r="AG14" i="8"/>
  <c r="X17" i="8"/>
  <c r="Y17" i="8"/>
  <c r="Z17" i="8"/>
  <c r="AA17" i="8"/>
  <c r="AB17" i="8"/>
  <c r="AC17" i="8"/>
  <c r="AD17" i="8"/>
  <c r="AE17" i="8"/>
  <c r="AF17" i="8"/>
  <c r="AG17" i="8"/>
  <c r="X18" i="8"/>
  <c r="X19" i="8" s="1"/>
  <c r="Y18" i="8"/>
  <c r="Y19" i="8" s="1"/>
  <c r="Z18" i="8"/>
  <c r="AA18" i="8"/>
  <c r="AB18" i="8"/>
  <c r="AB19" i="8" s="1"/>
  <c r="AC18" i="8"/>
  <c r="AC19" i="8" s="1"/>
  <c r="AD18" i="8"/>
  <c r="AE18" i="8"/>
  <c r="AF18" i="8"/>
  <c r="AF19" i="8" s="1"/>
  <c r="AG18" i="8"/>
  <c r="AG19" i="8" s="1"/>
  <c r="AA19" i="8"/>
  <c r="AE19" i="8"/>
  <c r="N9" i="8"/>
  <c r="O9" i="8"/>
  <c r="P9" i="8"/>
  <c r="Q9" i="8"/>
  <c r="R9" i="8"/>
  <c r="S9" i="8"/>
  <c r="T9" i="8"/>
  <c r="U9" i="8"/>
  <c r="V9" i="8"/>
  <c r="W9" i="8"/>
  <c r="N10" i="8"/>
  <c r="O10" i="8"/>
  <c r="P10" i="8"/>
  <c r="Q10" i="8"/>
  <c r="Q12" i="8" s="1"/>
  <c r="R10" i="8"/>
  <c r="S10" i="8"/>
  <c r="T10" i="8"/>
  <c r="U10" i="8"/>
  <c r="V10" i="8"/>
  <c r="W10" i="8"/>
  <c r="N11" i="8"/>
  <c r="O11" i="8"/>
  <c r="P11" i="8"/>
  <c r="Q11" i="8"/>
  <c r="R11" i="8"/>
  <c r="S11" i="8"/>
  <c r="T11" i="8"/>
  <c r="U11" i="8"/>
  <c r="V11" i="8"/>
  <c r="W11" i="8"/>
  <c r="N12" i="8"/>
  <c r="R12" i="8"/>
  <c r="U12" i="8"/>
  <c r="V12" i="8"/>
  <c r="N14" i="8"/>
  <c r="O14" i="8"/>
  <c r="P14" i="8"/>
  <c r="Q14" i="8"/>
  <c r="R14" i="8"/>
  <c r="S14" i="8"/>
  <c r="T14" i="8"/>
  <c r="U14" i="8"/>
  <c r="V14" i="8"/>
  <c r="W14" i="8"/>
  <c r="N17" i="8"/>
  <c r="O17" i="8"/>
  <c r="P17" i="8"/>
  <c r="Q17" i="8"/>
  <c r="R17" i="8"/>
  <c r="R19" i="8" s="1"/>
  <c r="S17" i="8"/>
  <c r="T17" i="8"/>
  <c r="U17" i="8"/>
  <c r="V17" i="8"/>
  <c r="W17" i="8"/>
  <c r="N18" i="8"/>
  <c r="O18" i="8"/>
  <c r="O19" i="8" s="1"/>
  <c r="P18" i="8"/>
  <c r="P19" i="8" s="1"/>
  <c r="Q18" i="8"/>
  <c r="R18" i="8"/>
  <c r="S18" i="8"/>
  <c r="S19" i="8" s="1"/>
  <c r="T18" i="8"/>
  <c r="T19" i="8" s="1"/>
  <c r="U18" i="8"/>
  <c r="V18" i="8"/>
  <c r="W18" i="8"/>
  <c r="W19" i="8" s="1"/>
  <c r="N19" i="8"/>
  <c r="Q19" i="8"/>
  <c r="U19" i="8"/>
  <c r="V19" i="8"/>
  <c r="AF32" i="3"/>
  <c r="O12" i="8" l="1"/>
  <c r="AD12" i="8"/>
  <c r="Z12" i="8"/>
  <c r="S12" i="8"/>
  <c r="AD19" i="8"/>
  <c r="Z19" i="8"/>
  <c r="AG12" i="8"/>
  <c r="AC12" i="8"/>
  <c r="Y12" i="8"/>
  <c r="W12" i="8"/>
  <c r="T12" i="8"/>
  <c r="P12" i="8"/>
  <c r="F9" i="2"/>
  <c r="N65" i="7"/>
  <c r="N66" i="7"/>
  <c r="N67" i="7"/>
  <c r="N68" i="7"/>
  <c r="N69" i="7"/>
  <c r="N70" i="7"/>
  <c r="N71" i="7"/>
  <c r="N72" i="7"/>
  <c r="N73" i="7"/>
  <c r="N74" i="7"/>
  <c r="N64" i="7"/>
  <c r="O65" i="7"/>
  <c r="O66" i="7"/>
  <c r="O67" i="7"/>
  <c r="O68" i="7"/>
  <c r="O69" i="7"/>
  <c r="O70" i="7"/>
  <c r="O71" i="7"/>
  <c r="O72" i="7"/>
  <c r="O73" i="7"/>
  <c r="O74" i="7"/>
  <c r="O64" i="7"/>
  <c r="K63" i="7"/>
  <c r="I67" i="7"/>
  <c r="I68" i="7"/>
  <c r="O50" i="7"/>
  <c r="O51" i="7"/>
  <c r="O52" i="7"/>
  <c r="O53" i="7"/>
  <c r="O54" i="7"/>
  <c r="O55" i="7"/>
  <c r="O56" i="7"/>
  <c r="O57" i="7"/>
  <c r="O58" i="7"/>
  <c r="O59" i="7"/>
  <c r="O49" i="7"/>
  <c r="N49" i="7"/>
  <c r="N50" i="7"/>
  <c r="N51" i="7"/>
  <c r="N52" i="7"/>
  <c r="N53" i="7"/>
  <c r="N54" i="7"/>
  <c r="N55" i="7"/>
  <c r="N56" i="7"/>
  <c r="N57" i="7"/>
  <c r="N58" i="7"/>
  <c r="N48" i="7"/>
  <c r="N23" i="3"/>
  <c r="Y23" i="3"/>
  <c r="AI23" i="3"/>
  <c r="P8" i="5"/>
  <c r="Q8" i="5" s="1"/>
  <c r="R8" i="5" s="1"/>
  <c r="S8" i="5" s="1"/>
  <c r="T8" i="5" s="1"/>
  <c r="U8" i="5" s="1"/>
  <c r="V8" i="5" s="1"/>
  <c r="W8" i="5" s="1"/>
  <c r="X8" i="5" s="1"/>
  <c r="Y8" i="5" s="1"/>
  <c r="Z8" i="5" s="1"/>
  <c r="AA8" i="5" s="1"/>
  <c r="AB8" i="5" s="1"/>
  <c r="AC8" i="5" s="1"/>
  <c r="AD8" i="5" s="1"/>
  <c r="AE8" i="5" s="1"/>
  <c r="AF8" i="5" s="1"/>
  <c r="AG8" i="5" s="1"/>
  <c r="AH8" i="5" s="1"/>
  <c r="P14" i="5"/>
  <c r="Q14" i="5" s="1"/>
  <c r="R14" i="5" s="1"/>
  <c r="S14" i="5" s="1"/>
  <c r="T14" i="5" s="1"/>
  <c r="U14" i="5" s="1"/>
  <c r="V14" i="5" s="1"/>
  <c r="W14" i="5" s="1"/>
  <c r="X14" i="5" s="1"/>
  <c r="Y14" i="5" s="1"/>
  <c r="Z14" i="5" s="1"/>
  <c r="AA14" i="5" s="1"/>
  <c r="AB14" i="5" s="1"/>
  <c r="AC14" i="5" s="1"/>
  <c r="AD14" i="5" s="1"/>
  <c r="AE14" i="5" s="1"/>
  <c r="AF14" i="5" s="1"/>
  <c r="AG14" i="5" s="1"/>
  <c r="AH14" i="5" s="1"/>
  <c r="P18" i="5"/>
  <c r="Q18" i="5" s="1"/>
  <c r="R18" i="5" s="1"/>
  <c r="S18" i="5" s="1"/>
  <c r="T18" i="5" s="1"/>
  <c r="U18" i="5" s="1"/>
  <c r="V18" i="5" s="1"/>
  <c r="W18" i="5" s="1"/>
  <c r="X18" i="5" s="1"/>
  <c r="Y18" i="5" s="1"/>
  <c r="Z18" i="5" s="1"/>
  <c r="AA18" i="5" s="1"/>
  <c r="AB18" i="5" s="1"/>
  <c r="AC18" i="5" s="1"/>
  <c r="AD18" i="5" s="1"/>
  <c r="AE18" i="5" s="1"/>
  <c r="AF18" i="5" s="1"/>
  <c r="AG18" i="5" s="1"/>
  <c r="AH18" i="5" s="1"/>
  <c r="AE94" i="4" l="1"/>
  <c r="AF93" i="4"/>
  <c r="C58" i="6"/>
  <c r="C53" i="6"/>
  <c r="C77" i="6"/>
  <c r="C76" i="6"/>
  <c r="B76" i="6"/>
  <c r="V53" i="6"/>
  <c r="U53" i="6"/>
  <c r="O8" i="5"/>
  <c r="O14" i="5"/>
  <c r="O18" i="5"/>
  <c r="E23" i="5"/>
  <c r="E22" i="5"/>
  <c r="E21" i="5"/>
  <c r="E20" i="5"/>
  <c r="E19" i="5"/>
  <c r="E17" i="5"/>
  <c r="E16" i="5"/>
  <c r="E15" i="5"/>
  <c r="E13" i="5"/>
  <c r="E12" i="5"/>
  <c r="E11" i="5"/>
  <c r="E10" i="5"/>
  <c r="E9" i="5"/>
  <c r="E7" i="5"/>
  <c r="E6" i="5"/>
  <c r="E5" i="5"/>
  <c r="F5" i="5" s="1"/>
  <c r="G5" i="5" s="1"/>
  <c r="H5" i="5" s="1"/>
  <c r="I5" i="5" s="1"/>
  <c r="J5" i="5" s="1"/>
  <c r="K5" i="5" s="1"/>
  <c r="L5" i="5" s="1"/>
  <c r="M5" i="5" s="1"/>
  <c r="N5" i="5" s="1"/>
  <c r="O5" i="5" s="1"/>
  <c r="P5" i="5" s="1"/>
  <c r="Q5" i="5" s="1"/>
  <c r="R5" i="5" s="1"/>
  <c r="S5" i="5" s="1"/>
  <c r="T5" i="5" s="1"/>
  <c r="U5" i="5" s="1"/>
  <c r="V5" i="5" s="1"/>
  <c r="W5" i="5" s="1"/>
  <c r="X5" i="5" s="1"/>
  <c r="Y5" i="5" s="1"/>
  <c r="Z5" i="5" s="1"/>
  <c r="AA5" i="5" s="1"/>
  <c r="AB5" i="5" s="1"/>
  <c r="AC5" i="5" s="1"/>
  <c r="AD5" i="5" s="1"/>
  <c r="AE5" i="5" s="1"/>
  <c r="AF5" i="5" s="1"/>
  <c r="AG5" i="5" s="1"/>
  <c r="AH5" i="5" s="1"/>
  <c r="O75" i="4"/>
  <c r="AC75" i="4" s="1"/>
  <c r="AC94" i="4" s="1"/>
  <c r="O67" i="4"/>
  <c r="V75" i="4" s="1"/>
  <c r="V94" i="4" s="1"/>
  <c r="P66" i="4"/>
  <c r="W74" i="4" s="1"/>
  <c r="W93" i="4" s="1"/>
  <c r="R59" i="4"/>
  <c r="R67" i="4" s="1"/>
  <c r="Y67" i="4" s="1"/>
  <c r="Y85" i="4" s="1"/>
  <c r="R60" i="4"/>
  <c r="R76" i="4" s="1"/>
  <c r="R61" i="4"/>
  <c r="R69" i="4" s="1"/>
  <c r="R62" i="4"/>
  <c r="R78" i="4" s="1"/>
  <c r="AF78" i="4" s="1"/>
  <c r="AF97" i="4" s="1"/>
  <c r="Q59" i="4"/>
  <c r="Q75" i="4" s="1"/>
  <c r="AE75" i="4" s="1"/>
  <c r="Q60" i="4"/>
  <c r="Q68" i="4" s="1"/>
  <c r="X68" i="4" s="1"/>
  <c r="X86" i="4" s="1"/>
  <c r="Q61" i="4"/>
  <c r="Q77" i="4" s="1"/>
  <c r="Q62" i="4"/>
  <c r="Q70" i="4" s="1"/>
  <c r="R58" i="4"/>
  <c r="R74" i="4" s="1"/>
  <c r="AF74" i="4" s="1"/>
  <c r="Q58" i="4"/>
  <c r="Q66" i="4" s="1"/>
  <c r="P59" i="4"/>
  <c r="P67" i="4" s="1"/>
  <c r="P60" i="4"/>
  <c r="P76" i="4" s="1"/>
  <c r="AD76" i="4" s="1"/>
  <c r="AD95" i="4" s="1"/>
  <c r="P61" i="4"/>
  <c r="P69" i="4" s="1"/>
  <c r="W69" i="4" s="1"/>
  <c r="W87" i="4" s="1"/>
  <c r="P62" i="4"/>
  <c r="P78" i="4" s="1"/>
  <c r="P58" i="4"/>
  <c r="P74" i="4" s="1"/>
  <c r="O58" i="4"/>
  <c r="O66" i="4" s="1"/>
  <c r="V66" i="4" s="1"/>
  <c r="V84" i="4" s="1"/>
  <c r="N59" i="4"/>
  <c r="N67" i="4" s="1"/>
  <c r="U67" i="4" s="1"/>
  <c r="U85" i="4" s="1"/>
  <c r="N58" i="4"/>
  <c r="N74" i="4" s="1"/>
  <c r="AB74" i="4" s="1"/>
  <c r="AB93" i="4" s="1"/>
  <c r="O61" i="4"/>
  <c r="O77" i="4" s="1"/>
  <c r="AC77" i="4" s="1"/>
  <c r="AC96" i="4" s="1"/>
  <c r="O62" i="4"/>
  <c r="O70" i="4" s="1"/>
  <c r="V70" i="4" s="1"/>
  <c r="V88" i="4" s="1"/>
  <c r="O60" i="4"/>
  <c r="O68" i="4" s="1"/>
  <c r="N61" i="4"/>
  <c r="N69" i="4" s="1"/>
  <c r="N62" i="4"/>
  <c r="N78" i="4" s="1"/>
  <c r="AB78" i="4" s="1"/>
  <c r="AB97" i="4" s="1"/>
  <c r="N60" i="4"/>
  <c r="N76" i="4" s="1"/>
  <c r="W105" i="4" l="1"/>
  <c r="P75" i="4"/>
  <c r="AD67" i="4" s="1"/>
  <c r="AD85" i="4" s="1"/>
  <c r="F23" i="5"/>
  <c r="G23" i="5" s="1"/>
  <c r="H23" i="5" s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AH23" i="5" s="1"/>
  <c r="F20" i="5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T20" i="5" s="1"/>
  <c r="U20" i="5" s="1"/>
  <c r="V20" i="5" s="1"/>
  <c r="W20" i="5" s="1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F9" i="5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S9" i="5" s="1"/>
  <c r="T9" i="5" s="1"/>
  <c r="U9" i="5" s="1"/>
  <c r="V9" i="5" s="1"/>
  <c r="W9" i="5" s="1"/>
  <c r="X9" i="5" s="1"/>
  <c r="Y9" i="5" s="1"/>
  <c r="Z9" i="5" s="1"/>
  <c r="AA9" i="5" s="1"/>
  <c r="AB9" i="5" s="1"/>
  <c r="AC9" i="5" s="1"/>
  <c r="AD9" i="5" s="1"/>
  <c r="AE9" i="5" s="1"/>
  <c r="AF9" i="5" s="1"/>
  <c r="AG9" i="5" s="1"/>
  <c r="AH9" i="5" s="1"/>
  <c r="F13" i="5"/>
  <c r="G13" i="5" s="1"/>
  <c r="H13" i="5" s="1"/>
  <c r="I13" i="5" s="1"/>
  <c r="J13" i="5" s="1"/>
  <c r="K13" i="5" s="1"/>
  <c r="L13" i="5" s="1"/>
  <c r="M13" i="5" s="1"/>
  <c r="N13" i="5" s="1"/>
  <c r="O13" i="5" s="1"/>
  <c r="P13" i="5" s="1"/>
  <c r="Q13" i="5" s="1"/>
  <c r="R13" i="5" s="1"/>
  <c r="S13" i="5" s="1"/>
  <c r="T13" i="5" s="1"/>
  <c r="U13" i="5" s="1"/>
  <c r="V13" i="5" s="1"/>
  <c r="W13" i="5" s="1"/>
  <c r="X13" i="5" s="1"/>
  <c r="Y13" i="5" s="1"/>
  <c r="Z13" i="5" s="1"/>
  <c r="AA13" i="5" s="1"/>
  <c r="AB13" i="5" s="1"/>
  <c r="AC13" i="5" s="1"/>
  <c r="AD13" i="5" s="1"/>
  <c r="AE13" i="5" s="1"/>
  <c r="AF13" i="5" s="1"/>
  <c r="AG13" i="5" s="1"/>
  <c r="AH13" i="5" s="1"/>
  <c r="F19" i="5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R19" i="5" s="1"/>
  <c r="S19" i="5" s="1"/>
  <c r="T19" i="5" s="1"/>
  <c r="U19" i="5" s="1"/>
  <c r="V19" i="5" s="1"/>
  <c r="W19" i="5" s="1"/>
  <c r="X19" i="5" s="1"/>
  <c r="Y19" i="5" s="1"/>
  <c r="Z19" i="5" s="1"/>
  <c r="AA19" i="5" s="1"/>
  <c r="AB19" i="5" s="1"/>
  <c r="AC19" i="5" s="1"/>
  <c r="AD19" i="5" s="1"/>
  <c r="AE19" i="5" s="1"/>
  <c r="AF19" i="5" s="1"/>
  <c r="AG19" i="5" s="1"/>
  <c r="AH19" i="5" s="1"/>
  <c r="F15" i="5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D15" i="5" s="1"/>
  <c r="AE15" i="5" s="1"/>
  <c r="AF15" i="5" s="1"/>
  <c r="AG15" i="5" s="1"/>
  <c r="AH15" i="5" s="1"/>
  <c r="F6" i="5"/>
  <c r="G6" i="5" s="1"/>
  <c r="H6" i="5" s="1"/>
  <c r="I6" i="5" s="1"/>
  <c r="J6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U6" i="5" s="1"/>
  <c r="V6" i="5" s="1"/>
  <c r="W6" i="5" s="1"/>
  <c r="X6" i="5" s="1"/>
  <c r="Y6" i="5" s="1"/>
  <c r="Z6" i="5" s="1"/>
  <c r="AA6" i="5" s="1"/>
  <c r="AB6" i="5" s="1"/>
  <c r="AC6" i="5" s="1"/>
  <c r="AD6" i="5" s="1"/>
  <c r="AE6" i="5" s="1"/>
  <c r="AF6" i="5" s="1"/>
  <c r="AG6" i="5" s="1"/>
  <c r="AH6" i="5" s="1"/>
  <c r="F11" i="5"/>
  <c r="G11" i="5" s="1"/>
  <c r="H11" i="5" s="1"/>
  <c r="I11" i="5" s="1"/>
  <c r="J11" i="5" s="1"/>
  <c r="K11" i="5" s="1"/>
  <c r="L11" i="5" s="1"/>
  <c r="M11" i="5" s="1"/>
  <c r="N11" i="5" s="1"/>
  <c r="O11" i="5" s="1"/>
  <c r="P11" i="5" s="1"/>
  <c r="Q11" i="5" s="1"/>
  <c r="R11" i="5" s="1"/>
  <c r="S11" i="5" s="1"/>
  <c r="T11" i="5" s="1"/>
  <c r="U11" i="5" s="1"/>
  <c r="V11" i="5" s="1"/>
  <c r="W11" i="5" s="1"/>
  <c r="X11" i="5" s="1"/>
  <c r="Y11" i="5" s="1"/>
  <c r="Z11" i="5" s="1"/>
  <c r="AA11" i="5" s="1"/>
  <c r="AB11" i="5" s="1"/>
  <c r="AC11" i="5" s="1"/>
  <c r="AD11" i="5" s="1"/>
  <c r="AE11" i="5" s="1"/>
  <c r="AF11" i="5" s="1"/>
  <c r="AG11" i="5" s="1"/>
  <c r="AH11" i="5" s="1"/>
  <c r="F16" i="5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U16" i="5" s="1"/>
  <c r="V16" i="5" s="1"/>
  <c r="W16" i="5" s="1"/>
  <c r="X16" i="5" s="1"/>
  <c r="Y16" i="5" s="1"/>
  <c r="Z16" i="5" s="1"/>
  <c r="AA16" i="5" s="1"/>
  <c r="AB16" i="5" s="1"/>
  <c r="AC16" i="5" s="1"/>
  <c r="AD16" i="5" s="1"/>
  <c r="AE16" i="5" s="1"/>
  <c r="AF16" i="5" s="1"/>
  <c r="AG16" i="5" s="1"/>
  <c r="AH16" i="5" s="1"/>
  <c r="F21" i="5"/>
  <c r="G21" i="5" s="1"/>
  <c r="H21" i="5" s="1"/>
  <c r="I21" i="5" s="1"/>
  <c r="J21" i="5" s="1"/>
  <c r="K21" i="5" s="1"/>
  <c r="L21" i="5" s="1"/>
  <c r="M21" i="5" s="1"/>
  <c r="N21" i="5" s="1"/>
  <c r="O21" i="5" s="1"/>
  <c r="P21" i="5" s="1"/>
  <c r="Q21" i="5" s="1"/>
  <c r="R21" i="5" s="1"/>
  <c r="S21" i="5" s="1"/>
  <c r="T21" i="5" s="1"/>
  <c r="U21" i="5" s="1"/>
  <c r="V21" i="5" s="1"/>
  <c r="W21" i="5" s="1"/>
  <c r="X21" i="5" s="1"/>
  <c r="Y21" i="5" s="1"/>
  <c r="Z21" i="5" s="1"/>
  <c r="AA21" i="5" s="1"/>
  <c r="AB21" i="5" s="1"/>
  <c r="AC21" i="5" s="1"/>
  <c r="AD21" i="5" s="1"/>
  <c r="AE21" i="5" s="1"/>
  <c r="AF21" i="5" s="1"/>
  <c r="AG21" i="5" s="1"/>
  <c r="AH21" i="5" s="1"/>
  <c r="F10" i="5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F7" i="5"/>
  <c r="G7" i="5" s="1"/>
  <c r="H7" i="5" s="1"/>
  <c r="I7" i="5" s="1"/>
  <c r="J7" i="5" s="1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A7" i="5" s="1"/>
  <c r="AB7" i="5" s="1"/>
  <c r="AC7" i="5" s="1"/>
  <c r="AD7" i="5" s="1"/>
  <c r="AE7" i="5" s="1"/>
  <c r="AF7" i="5" s="1"/>
  <c r="AG7" i="5" s="1"/>
  <c r="AH7" i="5" s="1"/>
  <c r="F12" i="5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V12" i="5" s="1"/>
  <c r="W12" i="5" s="1"/>
  <c r="X12" i="5" s="1"/>
  <c r="Y12" i="5" s="1"/>
  <c r="Z12" i="5" s="1"/>
  <c r="AA12" i="5" s="1"/>
  <c r="AB12" i="5" s="1"/>
  <c r="AC12" i="5" s="1"/>
  <c r="AD12" i="5" s="1"/>
  <c r="AE12" i="5" s="1"/>
  <c r="AF12" i="5" s="1"/>
  <c r="AG12" i="5" s="1"/>
  <c r="AH12" i="5" s="1"/>
  <c r="O17" i="5"/>
  <c r="P17" i="5" s="1"/>
  <c r="Q17" i="5" s="1"/>
  <c r="R17" i="5" s="1"/>
  <c r="S17" i="5" s="1"/>
  <c r="T17" i="5" s="1"/>
  <c r="U17" i="5" s="1"/>
  <c r="V17" i="5" s="1"/>
  <c r="W17" i="5" s="1"/>
  <c r="X17" i="5" s="1"/>
  <c r="Y17" i="5" s="1"/>
  <c r="Z17" i="5" s="1"/>
  <c r="AA17" i="5" s="1"/>
  <c r="AB17" i="5" s="1"/>
  <c r="AC17" i="5" s="1"/>
  <c r="AD17" i="5" s="1"/>
  <c r="AE17" i="5" s="1"/>
  <c r="AF17" i="5" s="1"/>
  <c r="AG17" i="5" s="1"/>
  <c r="AH17" i="5" s="1"/>
  <c r="F17" i="5"/>
  <c r="G17" i="5" s="1"/>
  <c r="H17" i="5" s="1"/>
  <c r="I17" i="5" s="1"/>
  <c r="J17" i="5" s="1"/>
  <c r="K17" i="5" s="1"/>
  <c r="L17" i="5" s="1"/>
  <c r="M17" i="5" s="1"/>
  <c r="N17" i="5" s="1"/>
  <c r="O22" i="5"/>
  <c r="P22" i="5" s="1"/>
  <c r="Q22" i="5" s="1"/>
  <c r="R22" i="5" s="1"/>
  <c r="S22" i="5" s="1"/>
  <c r="T22" i="5" s="1"/>
  <c r="U22" i="5" s="1"/>
  <c r="V22" i="5" s="1"/>
  <c r="W22" i="5" s="1"/>
  <c r="X22" i="5" s="1"/>
  <c r="Y22" i="5" s="1"/>
  <c r="Z22" i="5" s="1"/>
  <c r="AA22" i="5" s="1"/>
  <c r="AB22" i="5" s="1"/>
  <c r="AC22" i="5" s="1"/>
  <c r="AD22" i="5" s="1"/>
  <c r="AE22" i="5" s="1"/>
  <c r="AF22" i="5" s="1"/>
  <c r="AG22" i="5" s="1"/>
  <c r="AH22" i="5" s="1"/>
  <c r="F22" i="5"/>
  <c r="G22" i="5" s="1"/>
  <c r="H22" i="5" s="1"/>
  <c r="I22" i="5" s="1"/>
  <c r="J22" i="5" s="1"/>
  <c r="K22" i="5" s="1"/>
  <c r="L22" i="5" s="1"/>
  <c r="M22" i="5" s="1"/>
  <c r="N22" i="5" s="1"/>
  <c r="O85" i="4"/>
  <c r="AC67" i="4"/>
  <c r="AC85" i="4" s="1"/>
  <c r="AC103" i="4" s="1"/>
  <c r="N70" i="4"/>
  <c r="U70" i="4" s="1"/>
  <c r="U88" i="4" s="1"/>
  <c r="U106" i="4" s="1"/>
  <c r="N88" i="4" s="1"/>
  <c r="R77" i="4"/>
  <c r="AF69" i="4" s="1"/>
  <c r="AF87" i="4" s="1"/>
  <c r="Q67" i="4"/>
  <c r="X75" i="4" s="1"/>
  <c r="X94" i="4" s="1"/>
  <c r="N68" i="4"/>
  <c r="U76" i="4" s="1"/>
  <c r="U95" i="4" s="1"/>
  <c r="O74" i="4"/>
  <c r="AC66" i="4" s="1"/>
  <c r="AC84" i="4" s="1"/>
  <c r="R75" i="4"/>
  <c r="AF75" i="4" s="1"/>
  <c r="AF94" i="4" s="1"/>
  <c r="Q78" i="4"/>
  <c r="AE70" i="4" s="1"/>
  <c r="AE88" i="4" s="1"/>
  <c r="AE67" i="4"/>
  <c r="AE85" i="4" s="1"/>
  <c r="AE103" i="4" s="1"/>
  <c r="N75" i="4"/>
  <c r="AB75" i="4" s="1"/>
  <c r="AB94" i="4" s="1"/>
  <c r="R66" i="4"/>
  <c r="Y74" i="4" s="1"/>
  <c r="Y93" i="4" s="1"/>
  <c r="O69" i="4"/>
  <c r="V77" i="4" s="1"/>
  <c r="V96" i="4" s="1"/>
  <c r="O76" i="4"/>
  <c r="AC68" i="4" s="1"/>
  <c r="AC86" i="4" s="1"/>
  <c r="U75" i="4"/>
  <c r="AF70" i="4"/>
  <c r="AF88" i="4" s="1"/>
  <c r="AF106" i="4" s="1"/>
  <c r="Q69" i="4"/>
  <c r="X77" i="4" s="1"/>
  <c r="X96" i="4" s="1"/>
  <c r="P77" i="4"/>
  <c r="AD69" i="4" s="1"/>
  <c r="AD87" i="4" s="1"/>
  <c r="V78" i="4"/>
  <c r="V97" i="4" s="1"/>
  <c r="V106" i="4" s="1"/>
  <c r="N77" i="4"/>
  <c r="V76" i="4"/>
  <c r="V95" i="4" s="1"/>
  <c r="V68" i="4"/>
  <c r="V86" i="4" s="1"/>
  <c r="Y66" i="4"/>
  <c r="Y84" i="4" s="1"/>
  <c r="P68" i="4"/>
  <c r="U78" i="4"/>
  <c r="U97" i="4" s="1"/>
  <c r="Q74" i="4"/>
  <c r="AF67" i="4"/>
  <c r="AF85" i="4" s="1"/>
  <c r="AF103" i="4" s="1"/>
  <c r="R85" i="4" s="1"/>
  <c r="W66" i="4"/>
  <c r="W84" i="4" s="1"/>
  <c r="Y75" i="4"/>
  <c r="Y94" i="4" s="1"/>
  <c r="Y103" i="4" s="1"/>
  <c r="AB66" i="4"/>
  <c r="AB84" i="4" s="1"/>
  <c r="AB102" i="4" s="1"/>
  <c r="AD68" i="4"/>
  <c r="AD86" i="4" s="1"/>
  <c r="AD104" i="4" s="1"/>
  <c r="AF77" i="4"/>
  <c r="AF96" i="4" s="1"/>
  <c r="U77" i="4"/>
  <c r="U96" i="4" s="1"/>
  <c r="U69" i="4"/>
  <c r="U87" i="4" s="1"/>
  <c r="AD78" i="4"/>
  <c r="AD97" i="4" s="1"/>
  <c r="AD70" i="4"/>
  <c r="AD88" i="4" s="1"/>
  <c r="AD106" i="4" s="1"/>
  <c r="AF76" i="4"/>
  <c r="AF95" i="4" s="1"/>
  <c r="AF68" i="4"/>
  <c r="AF86" i="4" s="1"/>
  <c r="AF104" i="4" s="1"/>
  <c r="X78" i="4"/>
  <c r="X97" i="4" s="1"/>
  <c r="X70" i="4"/>
  <c r="X88" i="4" s="1"/>
  <c r="R68" i="4"/>
  <c r="P70" i="4"/>
  <c r="V67" i="4"/>
  <c r="V85" i="4" s="1"/>
  <c r="V103" i="4" s="1"/>
  <c r="X76" i="4"/>
  <c r="X95" i="4" s="1"/>
  <c r="X104" i="4" s="1"/>
  <c r="AF66" i="4"/>
  <c r="AF84" i="4" s="1"/>
  <c r="AF102" i="4" s="1"/>
  <c r="AC69" i="4"/>
  <c r="AC87" i="4" s="1"/>
  <c r="AC105" i="4" s="1"/>
  <c r="AD75" i="4"/>
  <c r="AD94" i="4" s="1"/>
  <c r="X74" i="4"/>
  <c r="X93" i="4" s="1"/>
  <c r="X66" i="4"/>
  <c r="X84" i="4" s="1"/>
  <c r="AB76" i="4"/>
  <c r="AB95" i="4" s="1"/>
  <c r="AB68" i="4"/>
  <c r="AB86" i="4" s="1"/>
  <c r="AD74" i="4"/>
  <c r="AD93" i="4" s="1"/>
  <c r="AD66" i="4"/>
  <c r="AD84" i="4" s="1"/>
  <c r="W75" i="4"/>
  <c r="W94" i="4" s="1"/>
  <c r="W103" i="4" s="1"/>
  <c r="W67" i="4"/>
  <c r="W85" i="4" s="1"/>
  <c r="AE77" i="4"/>
  <c r="AE96" i="4" s="1"/>
  <c r="AE69" i="4"/>
  <c r="AE87" i="4" s="1"/>
  <c r="Y77" i="4"/>
  <c r="Y96" i="4" s="1"/>
  <c r="Y69" i="4"/>
  <c r="Y87" i="4" s="1"/>
  <c r="N66" i="4"/>
  <c r="V69" i="4"/>
  <c r="V87" i="4" s="1"/>
  <c r="R70" i="4"/>
  <c r="Q76" i="4"/>
  <c r="O78" i="4"/>
  <c r="V74" i="4"/>
  <c r="V93" i="4" s="1"/>
  <c r="V102" i="4" s="1"/>
  <c r="W77" i="4"/>
  <c r="W96" i="4" s="1"/>
  <c r="AB70" i="4"/>
  <c r="AB88" i="4" s="1"/>
  <c r="AB106" i="4" s="1"/>
  <c r="AC76" i="4"/>
  <c r="AC95" i="4" s="1"/>
  <c r="F24" i="5"/>
  <c r="R32" i="4"/>
  <c r="R31" i="4"/>
  <c r="Q28" i="4"/>
  <c r="W102" i="4" l="1"/>
  <c r="P84" i="4" s="1"/>
  <c r="V105" i="4"/>
  <c r="O87" i="4" s="1"/>
  <c r="Y105" i="4"/>
  <c r="R87" i="4" s="1"/>
  <c r="AB104" i="4"/>
  <c r="X106" i="4"/>
  <c r="AF105" i="4"/>
  <c r="AD103" i="4"/>
  <c r="P85" i="4" s="1"/>
  <c r="Y102" i="4"/>
  <c r="R84" i="4" s="1"/>
  <c r="U94" i="4"/>
  <c r="U103" i="4" s="1"/>
  <c r="N85" i="4" s="1"/>
  <c r="X67" i="4"/>
  <c r="X85" i="4" s="1"/>
  <c r="X103" i="4" s="1"/>
  <c r="Q85" i="4" s="1"/>
  <c r="AE105" i="4"/>
  <c r="AD102" i="4"/>
  <c r="X102" i="4"/>
  <c r="U105" i="4"/>
  <c r="V104" i="4"/>
  <c r="AC104" i="4"/>
  <c r="AF24" i="5"/>
  <c r="AE5" i="8" s="1"/>
  <c r="AE7" i="8" s="1"/>
  <c r="AE13" i="8" s="1"/>
  <c r="AE15" i="8" s="1"/>
  <c r="AE20" i="8" s="1"/>
  <c r="AE21" i="8" s="1"/>
  <c r="AE22" i="8" s="1"/>
  <c r="U68" i="4"/>
  <c r="U86" i="4" s="1"/>
  <c r="U104" i="4" s="1"/>
  <c r="N86" i="4" s="1"/>
  <c r="AD77" i="4"/>
  <c r="AC74" i="4"/>
  <c r="AC93" i="4" s="1"/>
  <c r="AB67" i="4"/>
  <c r="AB85" i="4" s="1"/>
  <c r="AB103" i="4" s="1"/>
  <c r="N93" i="4"/>
  <c r="AE78" i="4"/>
  <c r="AE97" i="4" s="1"/>
  <c r="AE106" i="4" s="1"/>
  <c r="X69" i="4"/>
  <c r="X87" i="4" s="1"/>
  <c r="X105" i="4" s="1"/>
  <c r="Q87" i="4" s="1"/>
  <c r="W78" i="4"/>
  <c r="W97" i="4" s="1"/>
  <c r="W70" i="4"/>
  <c r="W88" i="4" s="1"/>
  <c r="W106" i="4" s="1"/>
  <c r="P88" i="4" s="1"/>
  <c r="U74" i="4"/>
  <c r="U93" i="4" s="1"/>
  <c r="U66" i="4"/>
  <c r="U84" i="4" s="1"/>
  <c r="Y76" i="4"/>
  <c r="Y95" i="4" s="1"/>
  <c r="Y68" i="4"/>
  <c r="Y86" i="4" s="1"/>
  <c r="Y104" i="4" s="1"/>
  <c r="R86" i="4" s="1"/>
  <c r="W76" i="4"/>
  <c r="W95" i="4" s="1"/>
  <c r="W68" i="4"/>
  <c r="W86" i="4" s="1"/>
  <c r="W104" i="4" s="1"/>
  <c r="P86" i="4" s="1"/>
  <c r="AB69" i="4"/>
  <c r="AB87" i="4" s="1"/>
  <c r="AB77" i="4"/>
  <c r="AB96" i="4" s="1"/>
  <c r="Y78" i="4"/>
  <c r="Y97" i="4" s="1"/>
  <c r="Y70" i="4"/>
  <c r="Y88" i="4" s="1"/>
  <c r="AC78" i="4"/>
  <c r="AC97" i="4" s="1"/>
  <c r="AC70" i="4"/>
  <c r="AC88" i="4" s="1"/>
  <c r="AC106" i="4" s="1"/>
  <c r="O88" i="4" s="1"/>
  <c r="AE66" i="4"/>
  <c r="AE84" i="4" s="1"/>
  <c r="AE74" i="4"/>
  <c r="AE93" i="4" s="1"/>
  <c r="AE76" i="4"/>
  <c r="AE95" i="4" s="1"/>
  <c r="AE68" i="4"/>
  <c r="AE86" i="4" s="1"/>
  <c r="AE104" i="4" s="1"/>
  <c r="Q86" i="4" s="1"/>
  <c r="O93" i="4"/>
  <c r="U102" i="4" l="1"/>
  <c r="AF98" i="4"/>
  <c r="N87" i="4"/>
  <c r="Q88" i="4"/>
  <c r="AE102" i="4"/>
  <c r="Y106" i="4"/>
  <c r="R88" i="4" s="1"/>
  <c r="P95" i="4"/>
  <c r="AD96" i="4"/>
  <c r="AD105" i="4" s="1"/>
  <c r="P87" i="4" s="1"/>
  <c r="Q84" i="4"/>
  <c r="AB105" i="4"/>
  <c r="O86" i="4"/>
  <c r="AC102" i="4"/>
  <c r="Q94" i="4"/>
  <c r="Q95" i="4"/>
  <c r="AF79" i="4"/>
  <c r="R96" i="4"/>
  <c r="P94" i="4"/>
  <c r="Y79" i="4"/>
  <c r="Y99" i="4" s="1"/>
  <c r="AF71" i="4"/>
  <c r="Y71" i="4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L57" i="6"/>
  <c r="H2" i="5"/>
  <c r="F2" i="5"/>
  <c r="L2" i="5"/>
  <c r="K2" i="5"/>
  <c r="J2" i="5"/>
  <c r="I2" i="5"/>
  <c r="G2" i="5"/>
  <c r="O84" i="4" l="1"/>
  <c r="AF107" i="4"/>
  <c r="AF99" i="4"/>
  <c r="N84" i="4"/>
  <c r="Y107" i="4"/>
  <c r="R97" i="4"/>
  <c r="AF89" i="4"/>
  <c r="AF90" i="4" s="1"/>
  <c r="R89" i="4"/>
  <c r="D18" i="8"/>
  <c r="E14" i="8"/>
  <c r="E6" i="7"/>
  <c r="C25" i="3"/>
  <c r="D26" i="5" l="1"/>
  <c r="C26" i="5" s="1"/>
  <c r="D25" i="5"/>
  <c r="G33" i="11"/>
  <c r="F33" i="11"/>
  <c r="G16" i="11"/>
  <c r="F16" i="11"/>
  <c r="H40" i="6" l="1"/>
  <c r="H38" i="6" l="1"/>
  <c r="I36" i="6"/>
  <c r="I35" i="6"/>
  <c r="G40" i="6"/>
  <c r="P32" i="4" l="1"/>
  <c r="N32" i="4"/>
  <c r="M32" i="4"/>
  <c r="M33" i="4" s="1"/>
  <c r="N31" i="4"/>
  <c r="P31" i="4"/>
  <c r="M31" i="4"/>
  <c r="G64" i="7"/>
  <c r="G63" i="7"/>
  <c r="F63" i="7"/>
  <c r="N33" i="4" l="1"/>
  <c r="P33" i="4"/>
  <c r="P27" i="4"/>
  <c r="P28" i="4" s="1"/>
  <c r="P29" i="4" s="1"/>
  <c r="N27" i="4"/>
  <c r="N28" i="4" s="1"/>
  <c r="N29" i="4" s="1"/>
  <c r="M27" i="4"/>
  <c r="M28" i="4" s="1"/>
  <c r="M29" i="4" s="1"/>
  <c r="A5" i="5" l="1"/>
  <c r="U4" i="11"/>
  <c r="AR16" i="11"/>
  <c r="AR17" i="11"/>
  <c r="AR18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T26" i="11"/>
  <c r="AR6" i="11"/>
  <c r="AR7" i="11"/>
  <c r="AR8" i="11"/>
  <c r="AR9" i="11"/>
  <c r="AR10" i="11"/>
  <c r="AR11" i="11"/>
  <c r="AR12" i="11"/>
  <c r="AR13" i="11"/>
  <c r="AR14" i="11"/>
  <c r="AR15" i="11"/>
  <c r="AR19" i="11"/>
  <c r="AR20" i="11"/>
  <c r="AR21" i="11"/>
  <c r="AR22" i="11"/>
  <c r="AR23" i="11"/>
  <c r="AR24" i="11"/>
  <c r="AR25" i="11"/>
  <c r="AR5" i="11"/>
  <c r="V4" i="1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AI4" i="11" s="1"/>
  <c r="AJ4" i="11" s="1"/>
  <c r="AK4" i="11" s="1"/>
  <c r="AL4" i="11" s="1"/>
  <c r="AM4" i="11" s="1"/>
  <c r="AN4" i="11" s="1"/>
  <c r="AO4" i="11" s="1"/>
  <c r="AP4" i="11" s="1"/>
  <c r="AQ4" i="11" s="1"/>
  <c r="Q32" i="11"/>
  <c r="Q31" i="11"/>
  <c r="Q30" i="11"/>
  <c r="Q29" i="11"/>
  <c r="Q28" i="11"/>
  <c r="Q27" i="11"/>
  <c r="Q26" i="11"/>
  <c r="Q25" i="11"/>
  <c r="Q24" i="11"/>
  <c r="P24" i="11"/>
  <c r="P25" i="11"/>
  <c r="P26" i="11"/>
  <c r="P27" i="11"/>
  <c r="P28" i="11"/>
  <c r="P29" i="11"/>
  <c r="P30" i="11"/>
  <c r="P31" i="11"/>
  <c r="P32" i="11"/>
  <c r="Q23" i="11"/>
  <c r="P23" i="11"/>
  <c r="N24" i="11"/>
  <c r="N25" i="11"/>
  <c r="N26" i="11"/>
  <c r="N27" i="11"/>
  <c r="N28" i="11"/>
  <c r="N29" i="11"/>
  <c r="N30" i="11"/>
  <c r="N31" i="11"/>
  <c r="N32" i="11"/>
  <c r="N23" i="11"/>
  <c r="M24" i="11"/>
  <c r="M25" i="11"/>
  <c r="M26" i="11"/>
  <c r="M27" i="11"/>
  <c r="M28" i="11"/>
  <c r="M29" i="11"/>
  <c r="M30" i="11"/>
  <c r="M31" i="11"/>
  <c r="M32" i="11"/>
  <c r="M23" i="11"/>
  <c r="Q7" i="11"/>
  <c r="Q8" i="11"/>
  <c r="Q9" i="11"/>
  <c r="Q10" i="11"/>
  <c r="Q11" i="11"/>
  <c r="Q12" i="11"/>
  <c r="Q13" i="11"/>
  <c r="Q14" i="11"/>
  <c r="Q15" i="11"/>
  <c r="Q6" i="11"/>
  <c r="P7" i="11"/>
  <c r="P8" i="11"/>
  <c r="P9" i="11"/>
  <c r="P10" i="11"/>
  <c r="P11" i="11"/>
  <c r="P12" i="11"/>
  <c r="P13" i="11"/>
  <c r="P14" i="11"/>
  <c r="P15" i="11"/>
  <c r="P6" i="11"/>
  <c r="N7" i="11"/>
  <c r="N8" i="11"/>
  <c r="N9" i="11"/>
  <c r="N10" i="11"/>
  <c r="N11" i="11"/>
  <c r="N12" i="11"/>
  <c r="N13" i="11"/>
  <c r="N14" i="11"/>
  <c r="N15" i="11"/>
  <c r="N6" i="11"/>
  <c r="M7" i="11"/>
  <c r="M8" i="11"/>
  <c r="M9" i="11"/>
  <c r="M10" i="11"/>
  <c r="M11" i="11"/>
  <c r="M12" i="11"/>
  <c r="M13" i="11"/>
  <c r="M14" i="11"/>
  <c r="M15" i="11"/>
  <c r="M6" i="11"/>
  <c r="A23" i="5"/>
  <c r="A18" i="5"/>
  <c r="A15" i="5"/>
  <c r="A22" i="5" s="1"/>
  <c r="A13" i="5"/>
  <c r="A8" i="5"/>
  <c r="A10" i="5"/>
  <c r="A17" i="5" s="1"/>
  <c r="A12" i="5"/>
  <c r="H26" i="5"/>
  <c r="I26" i="5"/>
  <c r="J26" i="5"/>
  <c r="K26" i="5"/>
  <c r="L26" i="5"/>
  <c r="M26" i="5"/>
  <c r="N26" i="5"/>
  <c r="G26" i="5"/>
  <c r="K48" i="7"/>
  <c r="K49" i="7"/>
  <c r="K50" i="7"/>
  <c r="K51" i="7"/>
  <c r="K52" i="7"/>
  <c r="K53" i="7"/>
  <c r="K54" i="7"/>
  <c r="K55" i="7"/>
  <c r="K56" i="7"/>
  <c r="K57" i="7"/>
  <c r="K58" i="7"/>
  <c r="K59" i="7"/>
  <c r="A11" i="5" l="1"/>
  <c r="A21" i="5" s="1"/>
  <c r="A6" i="5"/>
  <c r="L48" i="7"/>
  <c r="L49" i="7"/>
  <c r="L50" i="7"/>
  <c r="L51" i="7"/>
  <c r="L52" i="7"/>
  <c r="L53" i="7"/>
  <c r="L54" i="7"/>
  <c r="L55" i="7"/>
  <c r="L56" i="7"/>
  <c r="L57" i="7"/>
  <c r="L58" i="7"/>
  <c r="L59" i="7"/>
  <c r="Q43" i="7"/>
  <c r="F108" i="7"/>
  <c r="E108" i="7"/>
  <c r="J240" i="7"/>
  <c r="I240" i="7"/>
  <c r="H240" i="7"/>
  <c r="F98" i="7"/>
  <c r="F99" i="7"/>
  <c r="F100" i="7"/>
  <c r="F101" i="7"/>
  <c r="F102" i="7"/>
  <c r="F103" i="7"/>
  <c r="F104" i="7"/>
  <c r="F105" i="7"/>
  <c r="F106" i="7"/>
  <c r="F107" i="7"/>
  <c r="F97" i="7"/>
  <c r="E107" i="7"/>
  <c r="E106" i="7"/>
  <c r="E105" i="7"/>
  <c r="E104" i="7"/>
  <c r="E103" i="7"/>
  <c r="E102" i="7"/>
  <c r="E101" i="7"/>
  <c r="E100" i="7"/>
  <c r="E99" i="7"/>
  <c r="E98" i="7"/>
  <c r="E97" i="7"/>
  <c r="H49" i="7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A7" i="5" l="1"/>
  <c r="A20" i="5" s="1"/>
  <c r="A16" i="5"/>
  <c r="F109" i="7"/>
  <c r="D7" i="7"/>
  <c r="D17" i="8" s="1"/>
  <c r="F7" i="7"/>
  <c r="F17" i="8" s="1"/>
  <c r="E109" i="7"/>
  <c r="C23" i="3"/>
  <c r="K44" i="7"/>
  <c r="C14" i="3"/>
  <c r="D14" i="3"/>
  <c r="C13" i="3"/>
  <c r="D13" i="3"/>
  <c r="L38" i="7"/>
  <c r="D6" i="7" l="1"/>
  <c r="F6" i="7" s="1"/>
  <c r="G6" i="7" s="1"/>
  <c r="G44" i="7"/>
  <c r="H6" i="7" l="1"/>
  <c r="I6" i="7" s="1"/>
  <c r="J6" i="7" s="1"/>
  <c r="K6" i="7" s="1"/>
  <c r="L6" i="7" s="1"/>
  <c r="M6" i="7" s="1"/>
  <c r="N6" i="7" s="1"/>
  <c r="O6" i="7" s="1"/>
  <c r="P6" i="7" s="1"/>
  <c r="Q6" i="7" s="1"/>
  <c r="R6" i="7" s="1"/>
  <c r="S6" i="7" s="1"/>
  <c r="T6" i="7" s="1"/>
  <c r="U6" i="7" s="1"/>
  <c r="V6" i="7" s="1"/>
  <c r="W6" i="7" s="1"/>
  <c r="X6" i="7" s="1"/>
  <c r="Y6" i="7" s="1"/>
  <c r="Z6" i="7" s="1"/>
  <c r="AA6" i="7" s="1"/>
  <c r="AB6" i="7" s="1"/>
  <c r="AC6" i="7" s="1"/>
  <c r="AD6" i="7" s="1"/>
  <c r="AE6" i="7" s="1"/>
  <c r="AF6" i="7" s="1"/>
  <c r="AG6" i="7" s="1"/>
  <c r="J76" i="2"/>
  <c r="D8" i="7"/>
  <c r="E8" i="7" l="1"/>
  <c r="F8" i="7"/>
  <c r="E62" i="7"/>
  <c r="E61" i="7"/>
  <c r="E60" i="7"/>
  <c r="E58" i="7"/>
  <c r="E56" i="7"/>
  <c r="E54" i="7"/>
  <c r="E53" i="7"/>
  <c r="E52" i="7"/>
  <c r="E55" i="7"/>
  <c r="E57" i="7"/>
  <c r="E59" i="7"/>
  <c r="E51" i="7"/>
  <c r="E7" i="2"/>
  <c r="E63" i="7" l="1"/>
  <c r="E9" i="2"/>
  <c r="K72" i="2"/>
  <c r="K70" i="2"/>
  <c r="K63" i="2"/>
  <c r="K56" i="2"/>
  <c r="K44" i="2"/>
  <c r="K37" i="2"/>
  <c r="K30" i="2"/>
  <c r="D43" i="7"/>
  <c r="D49" i="7" s="1"/>
  <c r="E48" i="7"/>
  <c r="E47" i="7"/>
  <c r="E45" i="7"/>
  <c r="L59" i="6"/>
  <c r="L54" i="6"/>
  <c r="L49" i="6"/>
  <c r="C73" i="6"/>
  <c r="C72" i="6"/>
  <c r="C71" i="6"/>
  <c r="D66" i="6"/>
  <c r="D67" i="6"/>
  <c r="D68" i="6"/>
  <c r="D71" i="6" s="1"/>
  <c r="D69" i="6"/>
  <c r="D70" i="6"/>
  <c r="D65" i="6"/>
  <c r="C48" i="6"/>
  <c r="D48" i="6" s="1"/>
  <c r="E48" i="6" s="1"/>
  <c r="F48" i="6" s="1"/>
  <c r="G48" i="6" s="1"/>
  <c r="H48" i="6" s="1"/>
  <c r="I48" i="6" s="1"/>
  <c r="J48" i="6" s="1"/>
  <c r="K48" i="6" s="1"/>
  <c r="L48" i="6" s="1"/>
  <c r="E37" i="6"/>
  <c r="E36" i="6"/>
  <c r="D7" i="6"/>
  <c r="E7" i="6" s="1"/>
  <c r="F7" i="6" s="1"/>
  <c r="G7" i="6" s="1"/>
  <c r="H7" i="6" s="1"/>
  <c r="I7" i="6" s="1"/>
  <c r="J7" i="6" s="1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C41" i="6"/>
  <c r="B41" i="6"/>
  <c r="B40" i="6"/>
  <c r="B39" i="6"/>
  <c r="C40" i="6"/>
  <c r="D33" i="6"/>
  <c r="R52" i="6"/>
  <c r="T49" i="6"/>
  <c r="T50" i="6"/>
  <c r="T51" i="6"/>
  <c r="D36" i="6"/>
  <c r="D37" i="6"/>
  <c r="C33" i="6"/>
  <c r="F6" i="6"/>
  <c r="G6" i="6"/>
  <c r="H6" i="6"/>
  <c r="I6" i="6"/>
  <c r="J6" i="6" s="1"/>
  <c r="K6" i="6" s="1"/>
  <c r="L6" i="6" s="1"/>
  <c r="M6" i="6" s="1"/>
  <c r="N6" i="6" s="1"/>
  <c r="O6" i="6" s="1"/>
  <c r="P6" i="6" s="1"/>
  <c r="Q6" i="6" s="1"/>
  <c r="R6" i="6" s="1"/>
  <c r="S6" i="6" s="1"/>
  <c r="T6" i="6" s="1"/>
  <c r="U6" i="6" s="1"/>
  <c r="V6" i="6" s="1"/>
  <c r="W6" i="6" s="1"/>
  <c r="X6" i="6" s="1"/>
  <c r="Y6" i="6" s="1"/>
  <c r="Z6" i="6" s="1"/>
  <c r="AA6" i="6" s="1"/>
  <c r="AB6" i="6" s="1"/>
  <c r="AC6" i="6" s="1"/>
  <c r="AD6" i="6" s="1"/>
  <c r="AE6" i="6" s="1"/>
  <c r="AF6" i="6" s="1"/>
  <c r="AG6" i="6" s="1"/>
  <c r="E6" i="6"/>
  <c r="D6" i="6"/>
  <c r="G38" i="6"/>
  <c r="E43" i="7" l="1"/>
  <c r="E49" i="7" s="1"/>
  <c r="D53" i="6"/>
  <c r="E53" i="6" s="1"/>
  <c r="F53" i="6" s="1"/>
  <c r="G53" i="6" s="1"/>
  <c r="H53" i="6" s="1"/>
  <c r="I53" i="6" s="1"/>
  <c r="J53" i="6" s="1"/>
  <c r="K53" i="6" s="1"/>
  <c r="L53" i="6" s="1"/>
  <c r="T48" i="6"/>
  <c r="T47" i="6"/>
  <c r="T52" i="6" s="1"/>
  <c r="S52" i="6"/>
  <c r="O21" i="4"/>
  <c r="O22" i="4" l="1"/>
  <c r="Q22" i="4" s="1"/>
  <c r="U52" i="6"/>
  <c r="R21" i="4"/>
  <c r="Q21" i="4"/>
  <c r="W65" i="6"/>
  <c r="Y65" i="6"/>
  <c r="W66" i="6"/>
  <c r="Y66" i="6"/>
  <c r="Z66" i="6" s="1"/>
  <c r="AA66" i="6" s="1"/>
  <c r="W67" i="6"/>
  <c r="Y67" i="6"/>
  <c r="Z67" i="6" s="1"/>
  <c r="AA67" i="6" s="1"/>
  <c r="W68" i="6"/>
  <c r="Y68" i="6"/>
  <c r="Z68" i="6" s="1"/>
  <c r="AA68" i="6" s="1"/>
  <c r="AH17" i="3"/>
  <c r="AG17" i="3"/>
  <c r="AF17" i="3"/>
  <c r="AE17" i="3"/>
  <c r="AD17" i="3"/>
  <c r="AC17" i="3"/>
  <c r="AB17" i="3"/>
  <c r="AA17" i="3"/>
  <c r="Z16" i="3"/>
  <c r="Y16" i="3"/>
  <c r="Z14" i="3"/>
  <c r="Y14" i="3"/>
  <c r="Z13" i="3"/>
  <c r="Y13" i="3"/>
  <c r="Z23" i="3"/>
  <c r="O23" i="3"/>
  <c r="N57" i="3"/>
  <c r="K17" i="2"/>
  <c r="K43" i="7" s="1"/>
  <c r="K13" i="2"/>
  <c r="D16" i="3"/>
  <c r="C16" i="3"/>
  <c r="U17" i="3"/>
  <c r="E6" i="2"/>
  <c r="D11" i="3"/>
  <c r="C11" i="3"/>
  <c r="E18" i="8"/>
  <c r="F18" i="8"/>
  <c r="G18" i="8"/>
  <c r="H18" i="8"/>
  <c r="I18" i="8"/>
  <c r="J18" i="8"/>
  <c r="K18" i="8"/>
  <c r="L18" i="8"/>
  <c r="M18" i="8"/>
  <c r="D14" i="8"/>
  <c r="F14" i="8"/>
  <c r="G14" i="8"/>
  <c r="H14" i="8"/>
  <c r="I14" i="8"/>
  <c r="J14" i="8"/>
  <c r="K14" i="8"/>
  <c r="L14" i="8"/>
  <c r="M14" i="8"/>
  <c r="E10" i="8"/>
  <c r="F10" i="8"/>
  <c r="G10" i="8"/>
  <c r="H10" i="8"/>
  <c r="I10" i="8"/>
  <c r="J10" i="8"/>
  <c r="K10" i="8"/>
  <c r="L10" i="8"/>
  <c r="M10" i="8"/>
  <c r="F9" i="8"/>
  <c r="G9" i="8"/>
  <c r="H9" i="8"/>
  <c r="I9" i="8"/>
  <c r="J9" i="8"/>
  <c r="K9" i="8"/>
  <c r="L9" i="8"/>
  <c r="M9" i="8"/>
  <c r="E9" i="8"/>
  <c r="D10" i="8"/>
  <c r="D9" i="8"/>
  <c r="E3" i="8"/>
  <c r="D47" i="6"/>
  <c r="E47" i="6" s="1"/>
  <c r="F47" i="6" s="1"/>
  <c r="G47" i="6" s="1"/>
  <c r="H47" i="6" s="1"/>
  <c r="I47" i="6" s="1"/>
  <c r="J47" i="6" s="1"/>
  <c r="K47" i="6" s="1"/>
  <c r="L47" i="6" s="1"/>
  <c r="C50" i="6"/>
  <c r="D50" i="6"/>
  <c r="E8" i="6" s="1"/>
  <c r="E11" i="8" s="1"/>
  <c r="E50" i="6"/>
  <c r="F8" i="6" s="1"/>
  <c r="F11" i="8" s="1"/>
  <c r="F50" i="6"/>
  <c r="G8" i="6" s="1"/>
  <c r="G11" i="8" s="1"/>
  <c r="G50" i="6"/>
  <c r="H8" i="6" s="1"/>
  <c r="H11" i="8" s="1"/>
  <c r="H50" i="6"/>
  <c r="I8" i="6" s="1"/>
  <c r="I11" i="8" s="1"/>
  <c r="I50" i="6"/>
  <c r="J8" i="6" s="1"/>
  <c r="J11" i="8" s="1"/>
  <c r="J50" i="6"/>
  <c r="K8" i="6" s="1"/>
  <c r="K11" i="8" s="1"/>
  <c r="K50" i="6"/>
  <c r="L8" i="6" s="1"/>
  <c r="L11" i="8" s="1"/>
  <c r="L50" i="6"/>
  <c r="M8" i="6" s="1"/>
  <c r="M11" i="8" s="1"/>
  <c r="D52" i="6"/>
  <c r="E52" i="6"/>
  <c r="F52" i="6" s="1"/>
  <c r="G52" i="6" s="1"/>
  <c r="H52" i="6" s="1"/>
  <c r="I52" i="6" s="1"/>
  <c r="J52" i="6" s="1"/>
  <c r="K52" i="6" s="1"/>
  <c r="L52" i="6" s="1"/>
  <c r="C55" i="6"/>
  <c r="N8" i="6" s="1"/>
  <c r="D55" i="6"/>
  <c r="O8" i="6" s="1"/>
  <c r="D57" i="6"/>
  <c r="E57" i="6" s="1"/>
  <c r="F57" i="6" s="1"/>
  <c r="G57" i="6" s="1"/>
  <c r="H57" i="6" s="1"/>
  <c r="I57" i="6" s="1"/>
  <c r="J57" i="6" s="1"/>
  <c r="K57" i="6" s="1"/>
  <c r="M62" i="7" l="1"/>
  <c r="O48" i="7"/>
  <c r="P43" i="7"/>
  <c r="O43" i="7" s="1"/>
  <c r="I47" i="7"/>
  <c r="L43" i="7"/>
  <c r="D18" i="3"/>
  <c r="D28" i="3"/>
  <c r="C28" i="3"/>
  <c r="C21" i="3"/>
  <c r="R22" i="4"/>
  <c r="O23" i="4"/>
  <c r="R23" i="4" s="1"/>
  <c r="D8" i="6"/>
  <c r="D11" i="8" s="1"/>
  <c r="D12" i="8" s="1"/>
  <c r="C18" i="3"/>
  <c r="C24" i="3" s="1"/>
  <c r="F3" i="8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X3" i="8" s="1"/>
  <c r="Y3" i="8" s="1"/>
  <c r="Z3" i="8" s="1"/>
  <c r="AA3" i="8" s="1"/>
  <c r="AB3" i="8" s="1"/>
  <c r="AC3" i="8" s="1"/>
  <c r="AD3" i="8" s="1"/>
  <c r="AE3" i="8" s="1"/>
  <c r="AF3" i="8" s="1"/>
  <c r="AG3" i="8" s="1"/>
  <c r="K10" i="3"/>
  <c r="X9" i="3"/>
  <c r="N10" i="3"/>
  <c r="J10" i="3"/>
  <c r="F10" i="3"/>
  <c r="W9" i="3"/>
  <c r="S9" i="3"/>
  <c r="X10" i="3"/>
  <c r="T10" i="3"/>
  <c r="P10" i="3"/>
  <c r="AG9" i="3"/>
  <c r="AC9" i="3"/>
  <c r="AH10" i="3"/>
  <c r="AD10" i="3"/>
  <c r="Z10" i="3"/>
  <c r="G10" i="3"/>
  <c r="T9" i="3"/>
  <c r="E9" i="3"/>
  <c r="G9" i="3"/>
  <c r="M10" i="3"/>
  <c r="I10" i="3"/>
  <c r="V9" i="3"/>
  <c r="R9" i="3"/>
  <c r="W10" i="3"/>
  <c r="S10" i="3"/>
  <c r="Y9" i="3"/>
  <c r="AB9" i="3"/>
  <c r="AG10" i="3"/>
  <c r="AC10" i="3"/>
  <c r="L10" i="3"/>
  <c r="H10" i="3"/>
  <c r="O10" i="3"/>
  <c r="V10" i="3"/>
  <c r="R10" i="3"/>
  <c r="Y10" i="3"/>
  <c r="AE9" i="3"/>
  <c r="AA9" i="3"/>
  <c r="AF10" i="3"/>
  <c r="AB10" i="3"/>
  <c r="E10" i="3"/>
  <c r="U10" i="3"/>
  <c r="Q10" i="3"/>
  <c r="AE10" i="3"/>
  <c r="AA10" i="3"/>
  <c r="AA23" i="3"/>
  <c r="P23" i="3"/>
  <c r="Y17" i="3"/>
  <c r="AF9" i="3"/>
  <c r="E55" i="6"/>
  <c r="P8" i="6" s="1"/>
  <c r="G12" i="8"/>
  <c r="U9" i="3"/>
  <c r="Q9" i="3"/>
  <c r="AH9" i="3"/>
  <c r="AD9" i="3"/>
  <c r="Z9" i="3"/>
  <c r="D19" i="8"/>
  <c r="F19" i="8"/>
  <c r="J12" i="8"/>
  <c r="O24" i="4"/>
  <c r="Z17" i="3"/>
  <c r="F12" i="8"/>
  <c r="E12" i="8"/>
  <c r="K12" i="8"/>
  <c r="V17" i="3"/>
  <c r="S17" i="3"/>
  <c r="W17" i="3"/>
  <c r="T17" i="3"/>
  <c r="X17" i="3"/>
  <c r="Q17" i="3"/>
  <c r="L12" i="8"/>
  <c r="H12" i="8"/>
  <c r="M12" i="8"/>
  <c r="I12" i="8"/>
  <c r="L44" i="7" l="1"/>
  <c r="M43" i="7"/>
  <c r="Q23" i="4"/>
  <c r="C20" i="3"/>
  <c r="D19" i="3" s="1"/>
  <c r="D20" i="3" s="1"/>
  <c r="I7" i="3"/>
  <c r="Q7" i="3"/>
  <c r="G7" i="3"/>
  <c r="L7" i="3"/>
  <c r="F7" i="3"/>
  <c r="E7" i="3"/>
  <c r="P7" i="3"/>
  <c r="O7" i="3"/>
  <c r="K7" i="3"/>
  <c r="H7" i="3"/>
  <c r="Q23" i="3"/>
  <c r="AB23" i="3"/>
  <c r="F55" i="6"/>
  <c r="Q8" i="6" s="1"/>
  <c r="O25" i="4"/>
  <c r="O27" i="4" s="1"/>
  <c r="O28" i="4" s="1"/>
  <c r="O29" i="4" s="1"/>
  <c r="R24" i="4"/>
  <c r="Q24" i="4"/>
  <c r="J7" i="3"/>
  <c r="N7" i="3"/>
  <c r="M7" i="3"/>
  <c r="V24" i="5"/>
  <c r="U5" i="8" s="1"/>
  <c r="U7" i="8" s="1"/>
  <c r="U13" i="8" s="1"/>
  <c r="U15" i="8" s="1"/>
  <c r="U20" i="8" s="1"/>
  <c r="U21" i="8" s="1"/>
  <c r="U22" i="8" s="1"/>
  <c r="P24" i="5"/>
  <c r="O5" i="8" s="1"/>
  <c r="O7" i="8" s="1"/>
  <c r="O13" i="8" s="1"/>
  <c r="O15" i="8" s="1"/>
  <c r="O20" i="8" s="1"/>
  <c r="AH24" i="5"/>
  <c r="AG5" i="8" s="1"/>
  <c r="AG7" i="8" s="1"/>
  <c r="AG13" i="8" s="1"/>
  <c r="AG15" i="8" s="1"/>
  <c r="AG20" i="8" s="1"/>
  <c r="AG24" i="5"/>
  <c r="AF5" i="8" s="1"/>
  <c r="AF7" i="8" s="1"/>
  <c r="AF13" i="8" s="1"/>
  <c r="AF15" i="8" s="1"/>
  <c r="AF20" i="8" s="1"/>
  <c r="AE24" i="5"/>
  <c r="AD5" i="8" s="1"/>
  <c r="AD7" i="8" s="1"/>
  <c r="AD13" i="8" s="1"/>
  <c r="AD15" i="8" s="1"/>
  <c r="AD20" i="8" s="1"/>
  <c r="AD24" i="5"/>
  <c r="AC5" i="8" s="1"/>
  <c r="AC7" i="8" s="1"/>
  <c r="AC13" i="8" s="1"/>
  <c r="AC15" i="8" s="1"/>
  <c r="AC20" i="8" s="1"/>
  <c r="AC24" i="5"/>
  <c r="AB5" i="8" s="1"/>
  <c r="AB7" i="8" s="1"/>
  <c r="AB13" i="8" s="1"/>
  <c r="AB15" i="8" s="1"/>
  <c r="AB20" i="8" s="1"/>
  <c r="AB24" i="5"/>
  <c r="AA5" i="8" s="1"/>
  <c r="AA7" i="8" s="1"/>
  <c r="AA13" i="8" s="1"/>
  <c r="AA15" i="8" s="1"/>
  <c r="AA20" i="8" s="1"/>
  <c r="AA21" i="8" s="1"/>
  <c r="AA22" i="8" s="1"/>
  <c r="AA24" i="5"/>
  <c r="Z5" i="8" s="1"/>
  <c r="Z7" i="8" s="1"/>
  <c r="Z13" i="8" s="1"/>
  <c r="Z15" i="8" s="1"/>
  <c r="Z20" i="8" s="1"/>
  <c r="Z21" i="8" s="1"/>
  <c r="Z22" i="8" s="1"/>
  <c r="Z24" i="5"/>
  <c r="Y5" i="8" s="1"/>
  <c r="Y7" i="8" s="1"/>
  <c r="Y13" i="8" s="1"/>
  <c r="Y15" i="8" s="1"/>
  <c r="Y20" i="8" s="1"/>
  <c r="Y24" i="5"/>
  <c r="X5" i="8" s="1"/>
  <c r="X7" i="8" s="1"/>
  <c r="X13" i="8" s="1"/>
  <c r="X15" i="8" s="1"/>
  <c r="X20" i="8" s="1"/>
  <c r="B54" i="5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X24" i="5"/>
  <c r="W5" i="8" s="1"/>
  <c r="W7" i="8" s="1"/>
  <c r="W13" i="8" s="1"/>
  <c r="W15" i="8" s="1"/>
  <c r="W20" i="8" s="1"/>
  <c r="W24" i="5"/>
  <c r="V5" i="8" s="1"/>
  <c r="V7" i="8" s="1"/>
  <c r="V13" i="8" s="1"/>
  <c r="V15" i="8" s="1"/>
  <c r="V20" i="8" s="1"/>
  <c r="V21" i="8" s="1"/>
  <c r="V22" i="8" s="1"/>
  <c r="U24" i="5"/>
  <c r="T5" i="8" s="1"/>
  <c r="T7" i="8" s="1"/>
  <c r="T13" i="8" s="1"/>
  <c r="T15" i="8" s="1"/>
  <c r="T20" i="8" s="1"/>
  <c r="T24" i="5"/>
  <c r="S5" i="8" s="1"/>
  <c r="S7" i="8" s="1"/>
  <c r="S13" i="8" s="1"/>
  <c r="S15" i="8" s="1"/>
  <c r="S20" i="8" s="1"/>
  <c r="S24" i="5"/>
  <c r="R5" i="8" s="1"/>
  <c r="R7" i="8" s="1"/>
  <c r="R13" i="8" s="1"/>
  <c r="R15" i="8" s="1"/>
  <c r="R20" i="8" s="1"/>
  <c r="R21" i="8" s="1"/>
  <c r="R22" i="8" s="1"/>
  <c r="R24" i="5"/>
  <c r="Q5" i="8" s="1"/>
  <c r="Q7" i="8" s="1"/>
  <c r="Q13" i="8" s="1"/>
  <c r="Q15" i="8" s="1"/>
  <c r="Q20" i="8" s="1"/>
  <c r="Q21" i="8" s="1"/>
  <c r="Q22" i="8" s="1"/>
  <c r="Q24" i="5"/>
  <c r="P5" i="8" s="1"/>
  <c r="P7" i="8" s="1"/>
  <c r="P13" i="8" s="1"/>
  <c r="P15" i="8" s="1"/>
  <c r="P20" i="8" s="1"/>
  <c r="O24" i="5"/>
  <c r="N5" i="8" s="1"/>
  <c r="N7" i="8" s="1"/>
  <c r="N13" i="8" s="1"/>
  <c r="N15" i="8" s="1"/>
  <c r="N20" i="8" s="1"/>
  <c r="N21" i="8" s="1"/>
  <c r="N22" i="8" s="1"/>
  <c r="B30" i="5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E5" i="8"/>
  <c r="E7" i="8" s="1"/>
  <c r="F6" i="3" s="1"/>
  <c r="G24" i="5"/>
  <c r="F5" i="8" s="1"/>
  <c r="F7" i="8" s="1"/>
  <c r="H24" i="5"/>
  <c r="G5" i="8" s="1"/>
  <c r="G7" i="8" s="1"/>
  <c r="I24" i="5"/>
  <c r="H5" i="8" s="1"/>
  <c r="H7" i="8" s="1"/>
  <c r="J24" i="5"/>
  <c r="I5" i="8" s="1"/>
  <c r="I7" i="8" s="1"/>
  <c r="K24" i="5"/>
  <c r="J5" i="8" s="1"/>
  <c r="J7" i="8" s="1"/>
  <c r="J13" i="8" s="1"/>
  <c r="J15" i="8" s="1"/>
  <c r="L24" i="5"/>
  <c r="K5" i="8" s="1"/>
  <c r="K7" i="8" s="1"/>
  <c r="K13" i="8" s="1"/>
  <c r="K15" i="8" s="1"/>
  <c r="M24" i="5"/>
  <c r="L5" i="8" s="1"/>
  <c r="L7" i="8" s="1"/>
  <c r="L13" i="8" s="1"/>
  <c r="L15" i="8" s="1"/>
  <c r="N24" i="5"/>
  <c r="M5" i="8" s="1"/>
  <c r="M7" i="8" s="1"/>
  <c r="E24" i="5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Q9" i="6"/>
  <c r="P9" i="6"/>
  <c r="O9" i="6"/>
  <c r="N9" i="6"/>
  <c r="S21" i="8" l="1"/>
  <c r="S22" i="8" s="1"/>
  <c r="AF21" i="8"/>
  <c r="AF22" i="8" s="1"/>
  <c r="P21" i="8"/>
  <c r="P22" i="8" s="1"/>
  <c r="T21" i="8"/>
  <c r="T22" i="8" s="1"/>
  <c r="X21" i="8"/>
  <c r="X22" i="8" s="1"/>
  <c r="AB21" i="8"/>
  <c r="AB22" i="8" s="1"/>
  <c r="AG21" i="8"/>
  <c r="AG22" i="8" s="1"/>
  <c r="Y21" i="8"/>
  <c r="Y22" i="8" s="1"/>
  <c r="AC21" i="8"/>
  <c r="AC22" i="8" s="1"/>
  <c r="O21" i="8"/>
  <c r="O22" i="8" s="1"/>
  <c r="W21" i="8"/>
  <c r="W22" i="8" s="1"/>
  <c r="AD21" i="8"/>
  <c r="AD22" i="8" s="1"/>
  <c r="O31" i="4"/>
  <c r="O32" i="4"/>
  <c r="D5" i="8"/>
  <c r="D7" i="8" s="1"/>
  <c r="D13" i="8" s="1"/>
  <c r="E26" i="5"/>
  <c r="F26" i="5" s="1"/>
  <c r="E13" i="8"/>
  <c r="E15" i="8" s="1"/>
  <c r="C26" i="3"/>
  <c r="D25" i="3" s="1"/>
  <c r="AH6" i="3"/>
  <c r="Q6" i="3"/>
  <c r="Y6" i="3"/>
  <c r="AC6" i="3"/>
  <c r="AG6" i="3"/>
  <c r="N6" i="3"/>
  <c r="J6" i="3"/>
  <c r="R6" i="3"/>
  <c r="W6" i="3"/>
  <c r="Z6" i="3"/>
  <c r="AD6" i="3"/>
  <c r="I6" i="3"/>
  <c r="I13" i="8"/>
  <c r="I15" i="8" s="1"/>
  <c r="K6" i="3"/>
  <c r="G6" i="3"/>
  <c r="U6" i="3"/>
  <c r="M6" i="3"/>
  <c r="S6" i="3"/>
  <c r="X6" i="3"/>
  <c r="AA6" i="3"/>
  <c r="AE6" i="3"/>
  <c r="P6" i="3"/>
  <c r="H13" i="8"/>
  <c r="H15" i="8" s="1"/>
  <c r="M13" i="8"/>
  <c r="M15" i="8" s="1"/>
  <c r="F13" i="8"/>
  <c r="F15" i="8" s="1"/>
  <c r="F20" i="8" s="1"/>
  <c r="L6" i="3"/>
  <c r="H6" i="3"/>
  <c r="O6" i="3"/>
  <c r="T6" i="3"/>
  <c r="AB6" i="3"/>
  <c r="AF6" i="3"/>
  <c r="V6" i="3"/>
  <c r="G13" i="8"/>
  <c r="G15" i="8" s="1"/>
  <c r="AC23" i="3"/>
  <c r="R23" i="3"/>
  <c r="G55" i="6"/>
  <c r="R8" i="6" s="1"/>
  <c r="R9" i="6" s="1"/>
  <c r="O26" i="4"/>
  <c r="Q25" i="4"/>
  <c r="Q26" i="4" s="1"/>
  <c r="R25" i="4"/>
  <c r="R26" i="4" s="1"/>
  <c r="I10" i="1"/>
  <c r="F6" i="1"/>
  <c r="F7" i="1"/>
  <c r="F8" i="1" s="1"/>
  <c r="F9" i="1" s="1"/>
  <c r="F10" i="1" s="1"/>
  <c r="F11" i="1" s="1"/>
  <c r="F12" i="1" s="1"/>
  <c r="F5" i="1"/>
  <c r="N10" i="1"/>
  <c r="K11" i="1" s="1"/>
  <c r="J10" i="1"/>
  <c r="K10" i="1"/>
  <c r="L10" i="1"/>
  <c r="M10" i="1"/>
  <c r="N9" i="1"/>
  <c r="J9" i="1"/>
  <c r="K9" i="1"/>
  <c r="L9" i="1"/>
  <c r="M9" i="1"/>
  <c r="I9" i="1"/>
  <c r="M3" i="1"/>
  <c r="L3" i="1"/>
  <c r="K3" i="1"/>
  <c r="J3" i="1"/>
  <c r="I3" i="1"/>
  <c r="E5" i="1"/>
  <c r="E6" i="1"/>
  <c r="E7" i="1"/>
  <c r="E8" i="1"/>
  <c r="E9" i="1"/>
  <c r="E10" i="1"/>
  <c r="E11" i="1"/>
  <c r="E12" i="1"/>
  <c r="E4" i="1"/>
  <c r="F22" i="8" l="1"/>
  <c r="O33" i="4"/>
  <c r="E6" i="3"/>
  <c r="R7" i="3"/>
  <c r="D15" i="8"/>
  <c r="D20" i="8" s="1"/>
  <c r="Q8" i="3"/>
  <c r="P24" i="8"/>
  <c r="S23" i="3"/>
  <c r="AD23" i="3"/>
  <c r="H55" i="6"/>
  <c r="S8" i="6" s="1"/>
  <c r="S9" i="6" s="1"/>
  <c r="L11" i="1"/>
  <c r="I11" i="1"/>
  <c r="M11" i="1"/>
  <c r="J11" i="1"/>
  <c r="N11" i="1"/>
  <c r="D4" i="3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F9" i="7"/>
  <c r="D9" i="7"/>
  <c r="E9" i="6"/>
  <c r="F9" i="6"/>
  <c r="G9" i="6"/>
  <c r="H9" i="6"/>
  <c r="I9" i="6"/>
  <c r="J9" i="6"/>
  <c r="K9" i="6"/>
  <c r="L9" i="6"/>
  <c r="M9" i="6"/>
  <c r="D9" i="6"/>
  <c r="D23" i="3" l="1"/>
  <c r="D24" i="3" s="1"/>
  <c r="D26" i="3" s="1"/>
  <c r="E25" i="3" s="1"/>
  <c r="F24" i="8"/>
  <c r="Q11" i="3"/>
  <c r="Q18" i="3" s="1"/>
  <c r="E8" i="3"/>
  <c r="E11" i="3" s="1"/>
  <c r="R8" i="3"/>
  <c r="R11" i="3" s="1"/>
  <c r="Q24" i="8"/>
  <c r="G8" i="3"/>
  <c r="G11" i="3" s="1"/>
  <c r="E23" i="3"/>
  <c r="AE23" i="3"/>
  <c r="T23" i="3"/>
  <c r="I55" i="6"/>
  <c r="T8" i="6" s="1"/>
  <c r="T9" i="6" s="1"/>
  <c r="N5" i="7"/>
  <c r="O5" i="7" s="1"/>
  <c r="P5" i="7" s="1"/>
  <c r="Q5" i="7" s="1"/>
  <c r="R5" i="7" s="1"/>
  <c r="S5" i="7" s="1"/>
  <c r="T5" i="7" s="1"/>
  <c r="U5" i="7" s="1"/>
  <c r="V5" i="7" s="1"/>
  <c r="W5" i="7" s="1"/>
  <c r="X5" i="7" s="1"/>
  <c r="Y5" i="7" s="1"/>
  <c r="Z5" i="7" s="1"/>
  <c r="AA5" i="7" s="1"/>
  <c r="AB5" i="7" s="1"/>
  <c r="AC5" i="7" s="1"/>
  <c r="AD5" i="7" s="1"/>
  <c r="AE5" i="7" s="1"/>
  <c r="AF5" i="7" s="1"/>
  <c r="AG5" i="7" s="1"/>
  <c r="E5" i="7"/>
  <c r="F5" i="7" s="1"/>
  <c r="G5" i="7" s="1"/>
  <c r="N5" i="6"/>
  <c r="O5" i="6" s="1"/>
  <c r="P5" i="6" s="1"/>
  <c r="Q5" i="6" s="1"/>
  <c r="R5" i="6" s="1"/>
  <c r="S5" i="6" s="1"/>
  <c r="T5" i="6" s="1"/>
  <c r="U5" i="6" s="1"/>
  <c r="V5" i="6" s="1"/>
  <c r="W5" i="6" s="1"/>
  <c r="X5" i="6" s="1"/>
  <c r="Y5" i="6" s="1"/>
  <c r="Z5" i="6" s="1"/>
  <c r="AA5" i="6" s="1"/>
  <c r="AB5" i="6" s="1"/>
  <c r="AC5" i="6" s="1"/>
  <c r="AD5" i="6" s="1"/>
  <c r="AE5" i="6" s="1"/>
  <c r="AF5" i="6" s="1"/>
  <c r="AG5" i="6" s="1"/>
  <c r="E5" i="6"/>
  <c r="F5" i="6" s="1"/>
  <c r="G5" i="6" s="1"/>
  <c r="H5" i="6" s="1"/>
  <c r="I5" i="6" s="1"/>
  <c r="J5" i="6" s="1"/>
  <c r="K5" i="6" s="1"/>
  <c r="L5" i="6" s="1"/>
  <c r="Z3" i="5"/>
  <c r="AA3" i="5" s="1"/>
  <c r="AB3" i="5" s="1"/>
  <c r="AC3" i="5" s="1"/>
  <c r="AD3" i="5" s="1"/>
  <c r="AE3" i="5" s="1"/>
  <c r="AF3" i="5" s="1"/>
  <c r="AG3" i="5" s="1"/>
  <c r="AH3" i="5" s="1"/>
  <c r="O3" i="5"/>
  <c r="P3" i="5" s="1"/>
  <c r="Q3" i="5" s="1"/>
  <c r="R3" i="5" s="1"/>
  <c r="S3" i="5" s="1"/>
  <c r="T3" i="5" s="1"/>
  <c r="U3" i="5" s="1"/>
  <c r="V3" i="5" s="1"/>
  <c r="W3" i="5" s="1"/>
  <c r="X3" i="5" s="1"/>
  <c r="F3" i="5"/>
  <c r="G3" i="5" s="1"/>
  <c r="H3" i="5" s="1"/>
  <c r="I3" i="5" s="1"/>
  <c r="J3" i="5" s="1"/>
  <c r="K3" i="5" s="1"/>
  <c r="L3" i="5" s="1"/>
  <c r="M3" i="5" s="1"/>
  <c r="E11" i="2"/>
  <c r="E10" i="2"/>
  <c r="Q24" i="3" l="1"/>
  <c r="Q28" i="3"/>
  <c r="S7" i="3"/>
  <c r="D22" i="8"/>
  <c r="D4" i="12" s="1"/>
  <c r="H5" i="7"/>
  <c r="I5" i="7" s="1"/>
  <c r="J5" i="7" s="1"/>
  <c r="K5" i="7" s="1"/>
  <c r="L5" i="7" s="1"/>
  <c r="U23" i="3"/>
  <c r="F23" i="3"/>
  <c r="AF23" i="3"/>
  <c r="J55" i="6"/>
  <c r="U8" i="6" s="1"/>
  <c r="U9" i="6" s="1"/>
  <c r="D24" i="8" l="1"/>
  <c r="R24" i="8"/>
  <c r="T7" i="3"/>
  <c r="G23" i="3"/>
  <c r="AG23" i="3"/>
  <c r="V23" i="3"/>
  <c r="V9" i="6"/>
  <c r="K55" i="6"/>
  <c r="V8" i="6" s="1"/>
  <c r="F4" i="12" l="1"/>
  <c r="S24" i="8"/>
  <c r="V7" i="3"/>
  <c r="T8" i="3"/>
  <c r="U8" i="3"/>
  <c r="U7" i="3"/>
  <c r="S8" i="3"/>
  <c r="W23" i="3"/>
  <c r="AH23" i="3"/>
  <c r="H23" i="3"/>
  <c r="D58" i="6"/>
  <c r="E58" i="6" s="1"/>
  <c r="F58" i="6" s="1"/>
  <c r="G58" i="6" s="1"/>
  <c r="H58" i="6" s="1"/>
  <c r="I58" i="6" s="1"/>
  <c r="J58" i="6" s="1"/>
  <c r="K58" i="6" s="1"/>
  <c r="L58" i="6" s="1"/>
  <c r="L60" i="6" s="1"/>
  <c r="AG8" i="6" s="1"/>
  <c r="L55" i="6"/>
  <c r="W8" i="6" s="1"/>
  <c r="W9" i="6" s="1"/>
  <c r="T24" i="8" l="1"/>
  <c r="T11" i="3"/>
  <c r="T18" i="3" s="1"/>
  <c r="U11" i="3"/>
  <c r="U18" i="3" s="1"/>
  <c r="S11" i="3"/>
  <c r="S18" i="3" s="1"/>
  <c r="W7" i="3"/>
  <c r="V8" i="3"/>
  <c r="I23" i="3"/>
  <c r="X23" i="3"/>
  <c r="U24" i="8"/>
  <c r="C60" i="6"/>
  <c r="X8" i="6" s="1"/>
  <c r="X9" i="6" s="1"/>
  <c r="U24" i="3" l="1"/>
  <c r="U28" i="3"/>
  <c r="S24" i="3"/>
  <c r="S28" i="3"/>
  <c r="T24" i="3"/>
  <c r="T28" i="3"/>
  <c r="V11" i="3"/>
  <c r="V18" i="3" s="1"/>
  <c r="W8" i="3"/>
  <c r="J23" i="3"/>
  <c r="V24" i="8"/>
  <c r="D60" i="6"/>
  <c r="Y8" i="6" s="1"/>
  <c r="Y9" i="6" s="1"/>
  <c r="E19" i="3"/>
  <c r="V24" i="3" l="1"/>
  <c r="V28" i="3"/>
  <c r="W11" i="3"/>
  <c r="W18" i="3" s="1"/>
  <c r="X7" i="3"/>
  <c r="X8" i="3"/>
  <c r="K23" i="3"/>
  <c r="E60" i="6"/>
  <c r="Z8" i="6" s="1"/>
  <c r="Z9" i="6" s="1"/>
  <c r="W24" i="3" l="1"/>
  <c r="W28" i="3"/>
  <c r="X11" i="3"/>
  <c r="X18" i="3" s="1"/>
  <c r="W24" i="8"/>
  <c r="Y8" i="3"/>
  <c r="Y7" i="3"/>
  <c r="L23" i="3"/>
  <c r="F60" i="6"/>
  <c r="AA8" i="6" s="1"/>
  <c r="AA9" i="6" s="1"/>
  <c r="X24" i="3" l="1"/>
  <c r="X28" i="3"/>
  <c r="X24" i="8"/>
  <c r="Y11" i="3"/>
  <c r="Y18" i="3" s="1"/>
  <c r="AA7" i="3"/>
  <c r="Z7" i="3"/>
  <c r="Z8" i="3"/>
  <c r="M23" i="3"/>
  <c r="G60" i="6"/>
  <c r="AB8" i="6" s="1"/>
  <c r="AB9" i="6" s="1"/>
  <c r="Y24" i="3" l="1"/>
  <c r="Y28" i="3"/>
  <c r="Z11" i="3"/>
  <c r="Z18" i="3" s="1"/>
  <c r="AB7" i="3"/>
  <c r="Y24" i="8"/>
  <c r="AA8" i="3"/>
  <c r="AA11" i="3" s="1"/>
  <c r="Z24" i="8"/>
  <c r="H60" i="6"/>
  <c r="AC8" i="6" s="1"/>
  <c r="AC9" i="6" s="1"/>
  <c r="Z24" i="3" l="1"/>
  <c r="Z28" i="3"/>
  <c r="AC7" i="3"/>
  <c r="AA18" i="3"/>
  <c r="AB8" i="3"/>
  <c r="AA24" i="8"/>
  <c r="I60" i="6"/>
  <c r="AD8" i="6" s="1"/>
  <c r="AD9" i="6" s="1"/>
  <c r="AA24" i="3" l="1"/>
  <c r="AA28" i="3"/>
  <c r="AB11" i="3"/>
  <c r="AB18" i="3" s="1"/>
  <c r="AC8" i="3"/>
  <c r="AB24" i="8"/>
  <c r="K60" i="6"/>
  <c r="AF8" i="6" s="1"/>
  <c r="J60" i="6"/>
  <c r="AE8" i="6" s="1"/>
  <c r="AE9" i="6" s="1"/>
  <c r="AB24" i="3" l="1"/>
  <c r="AB28" i="3"/>
  <c r="AC11" i="3"/>
  <c r="AC18" i="3" s="1"/>
  <c r="AD7" i="3"/>
  <c r="AD8" i="3"/>
  <c r="AG9" i="6"/>
  <c r="AF9" i="6"/>
  <c r="AC24" i="3" l="1"/>
  <c r="AC28" i="3"/>
  <c r="AG7" i="3"/>
  <c r="AD11" i="3"/>
  <c r="AD18" i="3" s="1"/>
  <c r="AC24" i="8"/>
  <c r="AE7" i="3"/>
  <c r="AE8" i="3"/>
  <c r="AH7" i="3"/>
  <c r="AD24" i="3" l="1"/>
  <c r="AD28" i="3"/>
  <c r="AE11" i="3"/>
  <c r="AE18" i="3" s="1"/>
  <c r="AD24" i="8"/>
  <c r="AF7" i="3"/>
  <c r="AE24" i="3" l="1"/>
  <c r="AE28" i="3"/>
  <c r="AF8" i="3"/>
  <c r="AF11" i="3" s="1"/>
  <c r="AF18" i="3" s="1"/>
  <c r="AF28" i="3" s="1"/>
  <c r="AE24" i="8"/>
  <c r="AH8" i="3"/>
  <c r="AG8" i="3"/>
  <c r="AG24" i="8"/>
  <c r="AF24" i="8"/>
  <c r="AF24" i="3" l="1"/>
  <c r="AG11" i="3"/>
  <c r="AG18" i="3" s="1"/>
  <c r="AH11" i="3"/>
  <c r="AH18" i="3" s="1"/>
  <c r="J77" i="2"/>
  <c r="J78" i="2" s="1"/>
  <c r="E12" i="2"/>
  <c r="AH24" i="3" l="1"/>
  <c r="AH28" i="3"/>
  <c r="AG24" i="3"/>
  <c r="AG28" i="3"/>
  <c r="J79" i="2"/>
  <c r="J80" i="2" s="1"/>
  <c r="E13" i="2"/>
  <c r="E14" i="2" s="1"/>
  <c r="E15" i="2" l="1"/>
  <c r="E16" i="2"/>
  <c r="J6" i="2" l="1"/>
  <c r="G16" i="2"/>
  <c r="J7" i="2"/>
  <c r="G12" i="2"/>
  <c r="J11" i="2" l="1"/>
  <c r="J12" i="2"/>
  <c r="J16" i="2"/>
  <c r="J15" i="2"/>
  <c r="J50" i="7" l="1"/>
  <c r="G15" i="3" l="1"/>
  <c r="G17" i="3" s="1"/>
  <c r="G18" i="3" s="1"/>
  <c r="G24" i="3" l="1"/>
  <c r="G28" i="3"/>
  <c r="L60" i="7"/>
  <c r="J48" i="7"/>
  <c r="E15" i="3" l="1"/>
  <c r="E17" i="3" s="1"/>
  <c r="E18" i="3" s="1"/>
  <c r="E28" i="3" s="1"/>
  <c r="I48" i="7"/>
  <c r="E24" i="3" l="1"/>
  <c r="E20" i="3"/>
  <c r="F19" i="3" s="1"/>
  <c r="M48" i="7"/>
  <c r="I49" i="7"/>
  <c r="I50" i="7" s="1"/>
  <c r="E7" i="7"/>
  <c r="E9" i="7" s="1"/>
  <c r="E17" i="8"/>
  <c r="F9" i="3" s="1"/>
  <c r="E26" i="3" l="1"/>
  <c r="F25" i="3" s="1"/>
  <c r="G7" i="7"/>
  <c r="J51" i="7"/>
  <c r="M50" i="7"/>
  <c r="F15" i="3"/>
  <c r="F17" i="3" s="1"/>
  <c r="E19" i="8"/>
  <c r="E20" i="8" s="1"/>
  <c r="M49" i="7"/>
  <c r="E22" i="8" l="1"/>
  <c r="D5" i="12" s="1"/>
  <c r="H15" i="3"/>
  <c r="H17" i="3" s="1"/>
  <c r="I51" i="7"/>
  <c r="M51" i="7" s="1"/>
  <c r="G17" i="8"/>
  <c r="G9" i="7"/>
  <c r="E24" i="8" l="1"/>
  <c r="F8" i="3"/>
  <c r="G19" i="8"/>
  <c r="G20" i="8" s="1"/>
  <c r="H9" i="3"/>
  <c r="H7" i="7"/>
  <c r="J52" i="7"/>
  <c r="F5" i="12" l="1"/>
  <c r="F7" i="12" s="1"/>
  <c r="F11" i="3"/>
  <c r="F18" i="3" s="1"/>
  <c r="F28" i="3" s="1"/>
  <c r="I15" i="3"/>
  <c r="I17" i="3" s="1"/>
  <c r="I52" i="7"/>
  <c r="G21" i="8"/>
  <c r="G22" i="8" s="1"/>
  <c r="H17" i="8"/>
  <c r="H9" i="7"/>
  <c r="G24" i="8" l="1"/>
  <c r="F24" i="3"/>
  <c r="F20" i="3"/>
  <c r="G19" i="3" s="1"/>
  <c r="G20" i="3" s="1"/>
  <c r="H19" i="3" s="1"/>
  <c r="H19" i="8"/>
  <c r="H20" i="8" s="1"/>
  <c r="I9" i="3"/>
  <c r="M52" i="7"/>
  <c r="H8" i="3"/>
  <c r="F26" i="3" l="1"/>
  <c r="H11" i="3"/>
  <c r="H18" i="3" s="1"/>
  <c r="H28" i="3" s="1"/>
  <c r="I7" i="7"/>
  <c r="J53" i="7"/>
  <c r="H21" i="8"/>
  <c r="H22" i="8" s="1"/>
  <c r="H24" i="8" l="1"/>
  <c r="G25" i="3"/>
  <c r="G26" i="3" s="1"/>
  <c r="H25" i="3" s="1"/>
  <c r="H24" i="3"/>
  <c r="H20" i="3"/>
  <c r="I19" i="3" s="1"/>
  <c r="I8" i="3"/>
  <c r="I17" i="8"/>
  <c r="I9" i="7"/>
  <c r="J15" i="3"/>
  <c r="J17" i="3" s="1"/>
  <c r="I53" i="7"/>
  <c r="H26" i="3" l="1"/>
  <c r="I25" i="3" s="1"/>
  <c r="I11" i="3"/>
  <c r="I18" i="3" s="1"/>
  <c r="I28" i="3" s="1"/>
  <c r="I19" i="8"/>
  <c r="I20" i="8" s="1"/>
  <c r="J9" i="3"/>
  <c r="M53" i="7"/>
  <c r="I20" i="3" l="1"/>
  <c r="J19" i="3" s="1"/>
  <c r="I24" i="3"/>
  <c r="I21" i="8"/>
  <c r="I22" i="8" s="1"/>
  <c r="I24" i="8" s="1"/>
  <c r="J7" i="7"/>
  <c r="J54" i="7"/>
  <c r="I26" i="3" l="1"/>
  <c r="J25" i="3" s="1"/>
  <c r="J17" i="8"/>
  <c r="J9" i="7"/>
  <c r="K15" i="3"/>
  <c r="K17" i="3" s="1"/>
  <c r="I54" i="7"/>
  <c r="J8" i="3"/>
  <c r="J11" i="3" l="1"/>
  <c r="J18" i="3" s="1"/>
  <c r="J28" i="3" s="1"/>
  <c r="M54" i="7"/>
  <c r="K9" i="3"/>
  <c r="J19" i="8"/>
  <c r="J20" i="8" s="1"/>
  <c r="J20" i="3" l="1"/>
  <c r="K19" i="3" s="1"/>
  <c r="J24" i="3"/>
  <c r="J21" i="8"/>
  <c r="J22" i="8" s="1"/>
  <c r="J24" i="8" s="1"/>
  <c r="K7" i="7"/>
  <c r="J55" i="7"/>
  <c r="J26" i="3" l="1"/>
  <c r="K25" i="3" s="1"/>
  <c r="K17" i="8"/>
  <c r="K9" i="7"/>
  <c r="K8" i="3"/>
  <c r="L15" i="3"/>
  <c r="L17" i="3" s="1"/>
  <c r="I55" i="7"/>
  <c r="K11" i="3" l="1"/>
  <c r="K18" i="3" s="1"/>
  <c r="K28" i="3" s="1"/>
  <c r="M55" i="7"/>
  <c r="K19" i="8"/>
  <c r="K20" i="8" s="1"/>
  <c r="L9" i="3"/>
  <c r="K24" i="3" l="1"/>
  <c r="K20" i="3"/>
  <c r="L19" i="3" s="1"/>
  <c r="K21" i="8"/>
  <c r="K22" i="8" s="1"/>
  <c r="K24" i="8" s="1"/>
  <c r="L7" i="7"/>
  <c r="J56" i="7"/>
  <c r="K26" i="3" l="1"/>
  <c r="L25" i="3" s="1"/>
  <c r="L17" i="8"/>
  <c r="L9" i="7"/>
  <c r="M15" i="3"/>
  <c r="M17" i="3" s="1"/>
  <c r="I56" i="7"/>
  <c r="L8" i="3"/>
  <c r="L11" i="3" l="1"/>
  <c r="L18" i="3" s="1"/>
  <c r="L28" i="3" s="1"/>
  <c r="M56" i="7"/>
  <c r="M9" i="3"/>
  <c r="L19" i="8"/>
  <c r="L20" i="8" s="1"/>
  <c r="L24" i="3" l="1"/>
  <c r="L20" i="3"/>
  <c r="M19" i="3" s="1"/>
  <c r="R17" i="3"/>
  <c r="R18" i="3" s="1"/>
  <c r="R28" i="3" s="1"/>
  <c r="M7" i="7"/>
  <c r="J57" i="7"/>
  <c r="L21" i="8"/>
  <c r="L22" i="8" s="1"/>
  <c r="L24" i="8" s="1"/>
  <c r="L26" i="3" l="1"/>
  <c r="M25" i="3" s="1"/>
  <c r="R24" i="3"/>
  <c r="N15" i="3"/>
  <c r="N17" i="3" s="1"/>
  <c r="I57" i="7"/>
  <c r="M17" i="8"/>
  <c r="M9" i="7"/>
  <c r="M8" i="3"/>
  <c r="M11" i="3" l="1"/>
  <c r="M18" i="3" s="1"/>
  <c r="M28" i="3" s="1"/>
  <c r="M57" i="7"/>
  <c r="M19" i="8"/>
  <c r="M20" i="8" s="1"/>
  <c r="N9" i="3"/>
  <c r="M24" i="3" l="1"/>
  <c r="M20" i="3"/>
  <c r="N19" i="3" s="1"/>
  <c r="N7" i="7"/>
  <c r="J58" i="7"/>
  <c r="M21" i="8"/>
  <c r="M22" i="8" s="1"/>
  <c r="M24" i="8" s="1"/>
  <c r="M26" i="3" l="1"/>
  <c r="N25" i="3" s="1"/>
  <c r="O15" i="3"/>
  <c r="O17" i="3" s="1"/>
  <c r="I58" i="7"/>
  <c r="N8" i="3"/>
  <c r="N9" i="7"/>
  <c r="N11" i="3" l="1"/>
  <c r="N18" i="3" s="1"/>
  <c r="N28" i="3" s="1"/>
  <c r="M58" i="7"/>
  <c r="O9" i="3"/>
  <c r="N20" i="3" l="1"/>
  <c r="O19" i="3" s="1"/>
  <c r="N24" i="3"/>
  <c r="M60" i="7"/>
  <c r="M61" i="7"/>
  <c r="O7" i="7"/>
  <c r="J59" i="7"/>
  <c r="K60" i="7"/>
  <c r="N26" i="3" l="1"/>
  <c r="O25" i="3" s="1"/>
  <c r="P15" i="3"/>
  <c r="J60" i="7"/>
  <c r="I59" i="7"/>
  <c r="O9" i="7"/>
  <c r="O8" i="3"/>
  <c r="N24" i="8"/>
  <c r="O11" i="3" l="1"/>
  <c r="O18" i="3" s="1"/>
  <c r="O28" i="3" s="1"/>
  <c r="P9" i="3"/>
  <c r="P17" i="3"/>
  <c r="N36" i="3"/>
  <c r="O24" i="3" l="1"/>
  <c r="O20" i="3"/>
  <c r="P19" i="3" s="1"/>
  <c r="O24" i="8"/>
  <c r="O26" i="3" l="1"/>
  <c r="P25" i="3" s="1"/>
  <c r="P8" i="3"/>
  <c r="P11" i="3" l="1"/>
  <c r="P18" i="3" s="1"/>
  <c r="P28" i="3" s="1"/>
  <c r="F32" i="3" l="1"/>
  <c r="G32" i="3" s="1"/>
  <c r="F33" i="3"/>
  <c r="F34" i="3"/>
  <c r="P24" i="3"/>
  <c r="AI24" i="3" s="1"/>
  <c r="P20" i="3"/>
  <c r="Q19" i="3" s="1"/>
  <c r="Q20" i="3" s="1"/>
  <c r="R19" i="3" s="1"/>
  <c r="R20" i="3" s="1"/>
  <c r="S19" i="3" s="1"/>
  <c r="S20" i="3" s="1"/>
  <c r="T19" i="3" s="1"/>
  <c r="T20" i="3" s="1"/>
  <c r="U19" i="3" s="1"/>
  <c r="U20" i="3" s="1"/>
  <c r="V19" i="3" s="1"/>
  <c r="V20" i="3" s="1"/>
  <c r="W19" i="3" s="1"/>
  <c r="W20" i="3" s="1"/>
  <c r="X19" i="3" s="1"/>
  <c r="X20" i="3" s="1"/>
  <c r="Y19" i="3" s="1"/>
  <c r="Y20" i="3" s="1"/>
  <c r="Z19" i="3" s="1"/>
  <c r="Z20" i="3" s="1"/>
  <c r="AA19" i="3" s="1"/>
  <c r="AA20" i="3" s="1"/>
  <c r="AB19" i="3" s="1"/>
  <c r="AB20" i="3" s="1"/>
  <c r="AC19" i="3" s="1"/>
  <c r="AC20" i="3" s="1"/>
  <c r="AD19" i="3" s="1"/>
  <c r="AD20" i="3" s="1"/>
  <c r="AE19" i="3" s="1"/>
  <c r="AE20" i="3" s="1"/>
  <c r="AF19" i="3" s="1"/>
  <c r="AF20" i="3" s="1"/>
  <c r="AG19" i="3" s="1"/>
  <c r="AG20" i="3" s="1"/>
  <c r="AH19" i="3" s="1"/>
  <c r="AH20" i="3" s="1"/>
  <c r="P26" i="3" l="1"/>
  <c r="Q25" i="3" l="1"/>
  <c r="Q26" i="3" s="1"/>
  <c r="R25" i="3" l="1"/>
  <c r="R26" i="3" s="1"/>
  <c r="S25" i="3" l="1"/>
  <c r="S26" i="3" s="1"/>
  <c r="T25" i="3" l="1"/>
  <c r="T26" i="3" s="1"/>
  <c r="U25" i="3" l="1"/>
  <c r="U26" i="3" s="1"/>
  <c r="V25" i="3" l="1"/>
  <c r="V26" i="3" s="1"/>
  <c r="W25" i="3" l="1"/>
  <c r="W26" i="3" s="1"/>
  <c r="X25" i="3" l="1"/>
  <c r="X26" i="3" s="1"/>
  <c r="Y25" i="3" l="1"/>
  <c r="Y26" i="3" s="1"/>
  <c r="Z25" i="3" l="1"/>
  <c r="Z26" i="3" s="1"/>
  <c r="AA25" i="3" l="1"/>
  <c r="AA26" i="3" s="1"/>
  <c r="AB25" i="3" l="1"/>
  <c r="AB26" i="3" s="1"/>
  <c r="AC25" i="3" l="1"/>
  <c r="AC26" i="3" s="1"/>
  <c r="AD25" i="3" l="1"/>
  <c r="AD26" i="3" s="1"/>
  <c r="AE25" i="3" l="1"/>
  <c r="AE26" i="3" s="1"/>
  <c r="AF25" i="3" l="1"/>
  <c r="AF26" i="3" s="1"/>
  <c r="AG25" i="3" l="1"/>
  <c r="AG26" i="3" s="1"/>
  <c r="AH25" i="3" l="1"/>
  <c r="AH26" i="3" s="1"/>
  <c r="E7" i="12"/>
  <c r="D7" i="12"/>
  <c r="H4" i="12" l="1"/>
  <c r="G4" i="12"/>
  <c r="H5" i="12"/>
  <c r="J5" i="12" s="1"/>
  <c r="G5" i="12"/>
  <c r="I5" i="12" s="1"/>
  <c r="H7" i="12" l="1"/>
  <c r="G7" i="12"/>
  <c r="J4" i="12"/>
  <c r="I4" i="12"/>
  <c r="I7" i="12" s="1"/>
  <c r="J7" i="12" l="1"/>
  <c r="K7" i="12" s="1"/>
</calcChain>
</file>

<file path=xl/sharedStrings.xml><?xml version="1.0" encoding="utf-8"?>
<sst xmlns="http://schemas.openxmlformats.org/spreadsheetml/2006/main" count="952" uniqueCount="322">
  <si>
    <t>financial</t>
  </si>
  <si>
    <t>economic</t>
  </si>
  <si>
    <t>technical</t>
  </si>
  <si>
    <t>market</t>
  </si>
  <si>
    <t>social</t>
  </si>
  <si>
    <t>legal</t>
  </si>
  <si>
    <t>environment</t>
  </si>
  <si>
    <t>policy</t>
  </si>
  <si>
    <t>management</t>
  </si>
  <si>
    <t>Scale</t>
  </si>
  <si>
    <t>Biaya Langsung</t>
  </si>
  <si>
    <t>Pekerjaan konstruksi</t>
  </si>
  <si>
    <t>Biaya Tak Langsung</t>
  </si>
  <si>
    <t>SDM</t>
  </si>
  <si>
    <t>Asuransi</t>
  </si>
  <si>
    <t>TOTAL</t>
  </si>
  <si>
    <t>Pengadaan Lahan</t>
  </si>
  <si>
    <t>equity injection</t>
  </si>
  <si>
    <t>loan drawdown</t>
  </si>
  <si>
    <t>loan repayment</t>
  </si>
  <si>
    <t>belanja investasi</t>
  </si>
  <si>
    <t>Change in cash balance</t>
  </si>
  <si>
    <t>Beginning Cash Balance</t>
  </si>
  <si>
    <t xml:space="preserve">Ending Cash balance </t>
  </si>
  <si>
    <t>Tahun</t>
  </si>
  <si>
    <t>Rincian Biaya</t>
  </si>
  <si>
    <t>Rincian Biaya Investasi</t>
  </si>
  <si>
    <t>Preliminaries</t>
  </si>
  <si>
    <t>Utilities Diversion</t>
  </si>
  <si>
    <t>General Works 
(DED, Priject Management, Integration, etc)</t>
  </si>
  <si>
    <t>Investment Cost</t>
  </si>
  <si>
    <t>Vat</t>
  </si>
  <si>
    <t>Investment Cost + Vat</t>
  </si>
  <si>
    <t>Setup Cost</t>
  </si>
  <si>
    <t>Total investment</t>
  </si>
  <si>
    <t>No</t>
  </si>
  <si>
    <t>Jenis Pengeluaran</t>
  </si>
  <si>
    <t xml:space="preserve">Harga </t>
  </si>
  <si>
    <t>asuransi</t>
  </si>
  <si>
    <t>bunga</t>
  </si>
  <si>
    <t>depresiasi</t>
  </si>
  <si>
    <t>General Works</t>
  </si>
  <si>
    <t>Civil Works</t>
  </si>
  <si>
    <t>ME Works</t>
  </si>
  <si>
    <t>Rolling Stock</t>
  </si>
  <si>
    <t>General Control</t>
  </si>
  <si>
    <t>Equipment for Lift on</t>
  </si>
  <si>
    <t>Equipment for STP</t>
  </si>
  <si>
    <t>INVESTMENT COST</t>
  </si>
  <si>
    <t>VAT</t>
  </si>
  <si>
    <t>TOTAL IVAT</t>
  </si>
  <si>
    <t>SETUP COST</t>
  </si>
  <si>
    <t>GRAND TOTAL</t>
  </si>
  <si>
    <t>energi</t>
  </si>
  <si>
    <t>Pemeiharaan</t>
  </si>
  <si>
    <t>cicilan bunga</t>
  </si>
  <si>
    <t>v</t>
  </si>
  <si>
    <t>cash received</t>
  </si>
  <si>
    <t>cash paid</t>
  </si>
  <si>
    <t>income tax</t>
  </si>
  <si>
    <t>interest expenses</t>
  </si>
  <si>
    <t>Grand Total</t>
  </si>
  <si>
    <t>Aspect</t>
  </si>
  <si>
    <t>sum</t>
  </si>
  <si>
    <t>mean</t>
  </si>
  <si>
    <t>weighted</t>
  </si>
  <si>
    <t>Percentage</t>
  </si>
  <si>
    <t>Total Frequency</t>
  </si>
  <si>
    <t>Feasibility Aspect</t>
  </si>
  <si>
    <t xml:space="preserve">Rank </t>
  </si>
  <si>
    <t>tahun 1</t>
  </si>
  <si>
    <t>tahun 3</t>
  </si>
  <si>
    <t>tahun 4</t>
  </si>
  <si>
    <t xml:space="preserve">jumlah SDM </t>
  </si>
  <si>
    <t>trainset</t>
  </si>
  <si>
    <t>jam kerja</t>
  </si>
  <si>
    <t>Jenis Energi</t>
  </si>
  <si>
    <t>Jenis Moda</t>
  </si>
  <si>
    <t>Keekonomian Energi</t>
  </si>
  <si>
    <t>Harga Energi</t>
  </si>
  <si>
    <t>Satuan Energi</t>
  </si>
  <si>
    <t>Efisiensi  Energi (Normal)</t>
  </si>
  <si>
    <t>Biaya  Energi per Km (Normal)</t>
  </si>
  <si>
    <t>Efisiensi  Energi (Riil)</t>
  </si>
  <si>
    <t>Monorel</t>
  </si>
  <si>
    <t>Truk</t>
  </si>
  <si>
    <t>Listrik</t>
  </si>
  <si>
    <t>Solar</t>
  </si>
  <si>
    <t>Dex</t>
  </si>
  <si>
    <t>Non Subsidi</t>
  </si>
  <si>
    <t>Subsidi</t>
  </si>
  <si>
    <t>Kwh</t>
  </si>
  <si>
    <t>Liter</t>
  </si>
  <si>
    <t>-</t>
  </si>
  <si>
    <t>selisih harga (Rp/Km)</t>
  </si>
  <si>
    <t>selisih harga (%)</t>
  </si>
  <si>
    <t>Biaya  Energi per Km (Riil)</t>
  </si>
  <si>
    <t>kenaiakan asuransi per 3 tahun</t>
  </si>
  <si>
    <t>umur ekonomis (tahun)</t>
  </si>
  <si>
    <t>durasi cicilan bunga (tahun)</t>
  </si>
  <si>
    <t>PRA</t>
  </si>
  <si>
    <t>TGB</t>
  </si>
  <si>
    <t>KAL</t>
  </si>
  <si>
    <t>GRE</t>
  </si>
  <si>
    <t>LAM</t>
  </si>
  <si>
    <t>Asal</t>
  </si>
  <si>
    <t>Tujuan</t>
  </si>
  <si>
    <t>Minor</t>
  </si>
  <si>
    <t>Mayor</t>
  </si>
  <si>
    <t>lampiran biaya maintanance</t>
  </si>
  <si>
    <t>Pendapatan</t>
  </si>
  <si>
    <t>Monorail</t>
  </si>
  <si>
    <t>lainnya</t>
  </si>
  <si>
    <t>TotaL Pendapatan</t>
  </si>
  <si>
    <t>Biaya Operasional</t>
  </si>
  <si>
    <t>Energi</t>
  </si>
  <si>
    <t>Pemeliharaan</t>
  </si>
  <si>
    <t>EBITDA</t>
  </si>
  <si>
    <t>Operating Profit</t>
  </si>
  <si>
    <t>Penyusutan</t>
  </si>
  <si>
    <t>Biaya Lainnya</t>
  </si>
  <si>
    <t>Cicilan Bunga</t>
  </si>
  <si>
    <t>Total Biaya Lainnya</t>
  </si>
  <si>
    <t>Earning Before Tax</t>
  </si>
  <si>
    <t xml:space="preserve">Pajak Pendapatan </t>
  </si>
  <si>
    <t>Net Earning</t>
  </si>
  <si>
    <t>modal (30%)</t>
  </si>
  <si>
    <t>loan drawdon (70%)</t>
  </si>
  <si>
    <t>Cash Flow From Operating Activities</t>
  </si>
  <si>
    <t>Cash Flow From Investment Activities</t>
  </si>
  <si>
    <t>TotaL Pengeluaran</t>
  </si>
  <si>
    <t>lampiran biaya energi</t>
  </si>
  <si>
    <t>LCL</t>
  </si>
  <si>
    <t>FCL</t>
  </si>
  <si>
    <t>Bongkar</t>
  </si>
  <si>
    <t>Muat</t>
  </si>
  <si>
    <r>
      <t xml:space="preserve">20 </t>
    </r>
    <r>
      <rPr>
        <i/>
        <sz val="11"/>
        <color theme="1"/>
        <rFont val="Calibri"/>
        <family val="2"/>
        <scheme val="minor"/>
      </rPr>
      <t>Feet</t>
    </r>
  </si>
  <si>
    <r>
      <t xml:space="preserve">40 </t>
    </r>
    <r>
      <rPr>
        <i/>
        <sz val="11"/>
        <color theme="1"/>
        <rFont val="Calibri"/>
        <family val="2"/>
        <scheme val="minor"/>
      </rPr>
      <t>Feet</t>
    </r>
  </si>
  <si>
    <t>Volume Impor Menurut Pelabuhan Utama di Jawa Timur, 2007 - 2017 (Ribu Ton)</t>
  </si>
  <si>
    <t>Tahun Year</t>
  </si>
  <si>
    <t>Sumber : BPS Provinsi Jawa Timur</t>
  </si>
  <si>
    <t>Impor</t>
  </si>
  <si>
    <t>Ekspor</t>
  </si>
  <si>
    <t>Kapasitas Terpasang</t>
  </si>
  <si>
    <t>Arus Petikemas</t>
  </si>
  <si>
    <t>Sektor</t>
  </si>
  <si>
    <t>Radius</t>
  </si>
  <si>
    <t>(Km)</t>
  </si>
  <si>
    <t>Wilayah</t>
  </si>
  <si>
    <t>Tarif Truk (Km)</t>
  </si>
  <si>
    <t>Organda</t>
  </si>
  <si>
    <t>Pasar</t>
  </si>
  <si>
    <t>I</t>
  </si>
  <si>
    <t>0-2</t>
  </si>
  <si>
    <t>Dari Gudang ke Gudang di dalam Wilayah Pelabuhan</t>
  </si>
  <si>
    <t>II</t>
  </si>
  <si>
    <t>Dari Gudang di Wilayah Pelabuhan dan Sekitarnya (Wilayah Tanjung Perak)</t>
  </si>
  <si>
    <t>III</t>
  </si>
  <si>
    <t>Dari Gudang di Pelabuhan Tanjung Perak ke Gudang di Kota Utara dengan batas viaduck PJKA Hingga Batas Jembatan Kalianak</t>
  </si>
  <si>
    <t>IV</t>
  </si>
  <si>
    <t>Dari Gudang Pelabuhan Tanjung Perak ke Gudang di Tengah Kota Surabaya, Jl. Kalianak 55, Jl Gresik Sebelum Jembatan Greges, dll</t>
  </si>
  <si>
    <t>V</t>
  </si>
  <si>
    <t>15-18</t>
  </si>
  <si>
    <t>Dari Gudang di Pelabuhan ke Gudang di Kota Selatan dg batas Waru sampai Sepanjang dan sekitarnya (Jl. Gresik, Margomulyo, dll)</t>
  </si>
  <si>
    <t>VI</t>
  </si>
  <si>
    <t>18-28</t>
  </si>
  <si>
    <t>Dari Gudang di Pelabuhan ke Gudang di Daerah Rungkut Industri</t>
  </si>
  <si>
    <t>VII</t>
  </si>
  <si>
    <t>28-45</t>
  </si>
  <si>
    <t>Dari Gudang di Pelabuhan ke Gudang Sidoarjo, Kletek Taman, Gresik Kota</t>
  </si>
  <si>
    <t>2-4</t>
  </si>
  <si>
    <t>4-7</t>
  </si>
  <si>
    <t>7-15</t>
  </si>
  <si>
    <t xml:space="preserve">Asal / Tujuan </t>
  </si>
  <si>
    <r>
      <t xml:space="preserve">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(monorel) </t>
    </r>
  </si>
  <si>
    <r>
      <t xml:space="preserve">20 </t>
    </r>
    <r>
      <rPr>
        <i/>
        <sz val="14"/>
        <color theme="1"/>
        <rFont val="Times New Roman"/>
        <family val="1"/>
      </rPr>
      <t xml:space="preserve">feet </t>
    </r>
    <r>
      <rPr>
        <sz val="14"/>
        <color theme="1"/>
        <rFont val="Times New Roman"/>
        <family val="1"/>
      </rPr>
      <t>kosong (monorel)</t>
    </r>
  </si>
  <si>
    <r>
      <t xml:space="preserve">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(organda) </t>
    </r>
  </si>
  <si>
    <r>
      <t>20</t>
    </r>
    <r>
      <rPr>
        <i/>
        <sz val="14"/>
        <color theme="1"/>
        <rFont val="Times New Roman"/>
        <family val="1"/>
      </rPr>
      <t xml:space="preserve"> feet k</t>
    </r>
    <r>
      <rPr>
        <sz val="14"/>
        <color theme="1"/>
        <rFont val="Times New Roman"/>
        <family val="1"/>
      </rPr>
      <t>osong (organda)</t>
    </r>
  </si>
  <si>
    <t>Sumber : Hasil Survei</t>
  </si>
  <si>
    <r>
      <t xml:space="preserve">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(monorel) </t>
    </r>
  </si>
  <si>
    <r>
      <t xml:space="preserve">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(organda) </t>
    </r>
  </si>
  <si>
    <r>
      <t xml:space="preserve">40 </t>
    </r>
    <r>
      <rPr>
        <i/>
        <sz val="14"/>
        <color theme="1"/>
        <rFont val="Times New Roman"/>
        <family val="1"/>
      </rPr>
      <t xml:space="preserve">feet </t>
    </r>
    <r>
      <rPr>
        <sz val="14"/>
        <color theme="1"/>
        <rFont val="Times New Roman"/>
        <family val="1"/>
      </rPr>
      <t>kosong (monorel)</t>
    </r>
  </si>
  <si>
    <r>
      <t>40</t>
    </r>
    <r>
      <rPr>
        <i/>
        <sz val="14"/>
        <color theme="1"/>
        <rFont val="Times New Roman"/>
        <family val="1"/>
      </rPr>
      <t xml:space="preserve"> feet k</t>
    </r>
    <r>
      <rPr>
        <sz val="14"/>
        <color theme="1"/>
        <rFont val="Times New Roman"/>
        <family val="1"/>
      </rPr>
      <t>osong (organda)</t>
    </r>
  </si>
  <si>
    <t>tahun</t>
  </si>
  <si>
    <t>biaya</t>
  </si>
  <si>
    <t>kwh</t>
  </si>
  <si>
    <t>jam/tahun</t>
  </si>
  <si>
    <t>UMR</t>
  </si>
  <si>
    <t>gaji</t>
  </si>
  <si>
    <t>security</t>
  </si>
  <si>
    <t>petugas kebersihan</t>
  </si>
  <si>
    <t>direksi</t>
  </si>
  <si>
    <t>operator</t>
  </si>
  <si>
    <t>staff</t>
  </si>
  <si>
    <t>lampiran biaya SDM</t>
  </si>
  <si>
    <t>DED</t>
  </si>
  <si>
    <t>INTEGRATION</t>
  </si>
  <si>
    <t>PROJECT MANAGEMENT</t>
  </si>
  <si>
    <t>CONTIGENCY</t>
  </si>
  <si>
    <t>MAINLAND WORK</t>
  </si>
  <si>
    <t>MARINE WORK</t>
  </si>
  <si>
    <t>DEPOT/BALAI YASA</t>
  </si>
  <si>
    <t>SENTRA TRAIN STATION</t>
  </si>
  <si>
    <t>SWITCH TRACK</t>
  </si>
  <si>
    <t>SUPPORTING BUILDING</t>
  </si>
  <si>
    <t>POWER DISTRIBUTION</t>
  </si>
  <si>
    <t>LLIGHTNING PROTECTION</t>
  </si>
  <si>
    <t>LIGHTNING SYSTEM</t>
  </si>
  <si>
    <t>OUTDOOR LIGHTNING</t>
  </si>
  <si>
    <t>TELECOMMUNICATION</t>
  </si>
  <si>
    <t>FIRE FIGHTING</t>
  </si>
  <si>
    <t>FRESH WATER DISTRIBUTION</t>
  </si>
  <si>
    <t>WASTE WATER SYSTEM</t>
  </si>
  <si>
    <t>SEWERAGE SYSTEM</t>
  </si>
  <si>
    <t>FIRE FIGHTING SYSTEM</t>
  </si>
  <si>
    <t>TEST N COM</t>
  </si>
  <si>
    <t>CAR</t>
  </si>
  <si>
    <t>DEPOT EQUIPMENT</t>
  </si>
  <si>
    <t>SWITCH TRACK 1</t>
  </si>
  <si>
    <t>SWITCH TRACK 2</t>
  </si>
  <si>
    <t>SWITCH TRACK 3</t>
  </si>
  <si>
    <t>INSURANCE</t>
  </si>
  <si>
    <t>PERSIAPAN</t>
  </si>
  <si>
    <t>SIGNALING</t>
  </si>
  <si>
    <t>SUBSTATION</t>
  </si>
  <si>
    <t>COMMUNICATION</t>
  </si>
  <si>
    <t>SCADA</t>
  </si>
  <si>
    <t>FINISHING</t>
  </si>
  <si>
    <t>GANTRY CRANE</t>
  </si>
  <si>
    <t>HEAD TRUCK</t>
  </si>
  <si>
    <t>REACH STACKER</t>
  </si>
  <si>
    <t>FORKLIFT</t>
  </si>
  <si>
    <t>perhitungan asuransi</t>
  </si>
  <si>
    <t>perhitungan depresiasi</t>
  </si>
  <si>
    <t>perhitungan angsuran</t>
  </si>
  <si>
    <t>pinjaman</t>
  </si>
  <si>
    <t>anuitas</t>
  </si>
  <si>
    <t>angsuran</t>
  </si>
  <si>
    <t>sisa hutang</t>
  </si>
  <si>
    <t>pokok</t>
  </si>
  <si>
    <t>a</t>
  </si>
  <si>
    <t>b</t>
  </si>
  <si>
    <t>c</t>
  </si>
  <si>
    <t>d</t>
  </si>
  <si>
    <t>e</t>
  </si>
  <si>
    <t>wacc</t>
  </si>
  <si>
    <t>NPV</t>
  </si>
  <si>
    <t>BCR</t>
  </si>
  <si>
    <t>IRR</t>
  </si>
  <si>
    <t>WACC</t>
  </si>
  <si>
    <t>tetap</t>
  </si>
  <si>
    <t>Total</t>
  </si>
  <si>
    <t>% angsuran</t>
  </si>
  <si>
    <t>jarak</t>
  </si>
  <si>
    <t>Darat</t>
  </si>
  <si>
    <t>20'</t>
  </si>
  <si>
    <t>40'</t>
  </si>
  <si>
    <t>Tarif Monorel</t>
  </si>
  <si>
    <t>Tarif Pasar</t>
  </si>
  <si>
    <t>Tarif Organda</t>
  </si>
  <si>
    <t>Jarak (Km)</t>
  </si>
  <si>
    <t>PETIKEMAS ISI</t>
  </si>
  <si>
    <t>PETIKEMAS KOSONG</t>
  </si>
  <si>
    <t>monorel vs pasar</t>
  </si>
  <si>
    <t>monorel vs organda</t>
  </si>
  <si>
    <t>waktu</t>
  </si>
  <si>
    <t>jam operasi</t>
  </si>
  <si>
    <t>jumlah kereta</t>
  </si>
  <si>
    <t>laju pertumbuhan</t>
  </si>
  <si>
    <t>average</t>
  </si>
  <si>
    <t>slope</t>
  </si>
  <si>
    <t>trend</t>
  </si>
  <si>
    <t>dicounting factor</t>
  </si>
  <si>
    <t>tahun 0</t>
  </si>
  <si>
    <t>Net cash Flow</t>
  </si>
  <si>
    <t>insurance</t>
  </si>
  <si>
    <t>PAKE RUMUS EXCEL</t>
  </si>
  <si>
    <t>asumsi daya serap</t>
  </si>
  <si>
    <t>daya serap per stasiun (dalam juta boks)</t>
  </si>
  <si>
    <r>
      <t xml:space="preserve">daya serap 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</t>
    </r>
  </si>
  <si>
    <r>
      <t xml:space="preserve">daya serap 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kosong</t>
    </r>
  </si>
  <si>
    <r>
      <t xml:space="preserve">daya serap 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 </t>
    </r>
  </si>
  <si>
    <r>
      <t xml:space="preserve">daya serap 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kosong</t>
    </r>
  </si>
  <si>
    <r>
      <t xml:space="preserve">daya serap 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</t>
    </r>
  </si>
  <si>
    <r>
      <t xml:space="preserve">daya serap 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</t>
    </r>
  </si>
  <si>
    <t>pendapatan</t>
  </si>
  <si>
    <t>feeder</t>
  </si>
  <si>
    <t>kosong</t>
  </si>
  <si>
    <t>20feet</t>
  </si>
  <si>
    <t>isi</t>
  </si>
  <si>
    <t>40 feet</t>
  </si>
  <si>
    <t>biaya investasi</t>
  </si>
  <si>
    <r>
      <t xml:space="preserve">pendapatan 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</t>
    </r>
  </si>
  <si>
    <r>
      <t xml:space="preserve">pendapatan 20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kosong</t>
    </r>
  </si>
  <si>
    <r>
      <t xml:space="preserve">pendapatan 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isi</t>
    </r>
  </si>
  <si>
    <r>
      <t xml:space="preserve">pendapatan 40 </t>
    </r>
    <r>
      <rPr>
        <i/>
        <sz val="14"/>
        <color theme="1"/>
        <rFont val="Times New Roman"/>
        <family val="1"/>
      </rPr>
      <t>feet</t>
    </r>
    <r>
      <rPr>
        <sz val="14"/>
        <color theme="1"/>
        <rFont val="Times New Roman"/>
        <family val="1"/>
      </rPr>
      <t xml:space="preserve"> kosong</t>
    </r>
  </si>
  <si>
    <t>DATA REAL</t>
  </si>
  <si>
    <t>DATA SIMULASI</t>
  </si>
  <si>
    <t>AME</t>
  </si>
  <si>
    <t>A1</t>
  </si>
  <si>
    <t>B1</t>
  </si>
  <si>
    <t>A1^2</t>
  </si>
  <si>
    <t>B1^2</t>
  </si>
  <si>
    <t>AVE</t>
  </si>
  <si>
    <t>Total pendapatan 20 feet</t>
  </si>
  <si>
    <t>Total pendapatan 40 feet</t>
  </si>
  <si>
    <t>Modal</t>
  </si>
  <si>
    <t>Pinjaman</t>
  </si>
  <si>
    <t>Total Pendapatan (Tahun)</t>
  </si>
  <si>
    <t>Monday</t>
  </si>
  <si>
    <t>Tuesday</t>
  </si>
  <si>
    <t>Wednesday</t>
  </si>
  <si>
    <t>Thrusday</t>
  </si>
  <si>
    <t>Friday</t>
  </si>
  <si>
    <t>Saturday</t>
  </si>
  <si>
    <t>Sunday</t>
  </si>
  <si>
    <t xml:space="preserve">reduce traffic </t>
  </si>
  <si>
    <t xml:space="preserve">time efficiency </t>
  </si>
  <si>
    <t>cost efficiency</t>
  </si>
  <si>
    <t xml:space="preserve">accelerate container flow </t>
  </si>
  <si>
    <t>others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</si>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</sst>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0.0%"/>
    <numFmt numFmtId="167" formatCode="_(* ###\ ###\ ###\ ##0.00_);_(* \(###\ ###\ ###\ ##0.00\);_(* &quot;-&quot;??_);_(@_)"/>
    <numFmt numFmtId="168" formatCode="_(* #,##0.0_);_(* \(#,##0.0\);_(* &quot;-&quot;??_);_(@_)"/>
    <numFmt numFmtId="169" formatCode="0.00000"/>
    <numFmt numFmtId="170" formatCode="_(* #,##0.000_);_(* \(#,##0.000\);_(* &quot;-&quot;??_);_(@_)"/>
    <numFmt numFmtId="171" formatCode="_(* #,##0.0000_);_(* \(#,##0.0000\);_(* &quot;-&quot;??_);_(@_)"/>
    <numFmt numFmtId="172" formatCode="0.000%"/>
    <numFmt numFmtId="173" formatCode="0.0000%"/>
    <numFmt numFmtId="174" formatCode="_(* #,##0.000000_);_(* \(#,##0.000000\);_(* &quot;-&quot;??_);_(@_)"/>
    <numFmt numFmtId="175" formatCode="0.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rgb="FF444444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21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4">
    <xf numFmtId="0" fontId="0" fillId="0" borderId="0" xfId="0"/>
    <xf numFmtId="164" fontId="0" fillId="0" borderId="0" xfId="2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2" applyNumberFormat="1" applyFont="1" applyBorder="1" applyAlignment="1">
      <alignment horizontal="center" vertical="center"/>
    </xf>
    <xf numFmtId="164" fontId="0" fillId="0" borderId="1" xfId="2" applyNumberFormat="1" applyFont="1" applyBorder="1"/>
    <xf numFmtId="0" fontId="0" fillId="0" borderId="1" xfId="0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left" indent="1"/>
    </xf>
    <xf numFmtId="164" fontId="0" fillId="0" borderId="1" xfId="2" applyNumberFormat="1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indent="1"/>
    </xf>
    <xf numFmtId="0" fontId="2" fillId="5" borderId="1" xfId="0" applyFont="1" applyFill="1" applyBorder="1" applyAlignment="1">
      <alignment horizontal="center"/>
    </xf>
    <xf numFmtId="164" fontId="2" fillId="5" borderId="1" xfId="2" applyNumberFormat="1" applyFont="1" applyFill="1" applyBorder="1" applyAlignment="1">
      <alignment horizontal="center"/>
    </xf>
    <xf numFmtId="9" fontId="2" fillId="5" borderId="1" xfId="0" applyNumberFormat="1" applyFont="1" applyFill="1" applyBorder="1" applyAlignment="1">
      <alignment horizontal="center"/>
    </xf>
    <xf numFmtId="43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2" applyNumberFormat="1" applyFont="1"/>
    <xf numFmtId="9" fontId="0" fillId="0" borderId="0" xfId="0" applyNumberFormat="1"/>
    <xf numFmtId="0" fontId="0" fillId="3" borderId="1" xfId="0" applyFill="1" applyBorder="1" applyAlignment="1">
      <alignment horizontal="center"/>
    </xf>
    <xf numFmtId="164" fontId="0" fillId="0" borderId="1" xfId="2" applyNumberFormat="1" applyFont="1" applyFill="1" applyBorder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0" fillId="0" borderId="0" xfId="0" applyFill="1"/>
    <xf numFmtId="10" fontId="0" fillId="0" borderId="1" xfId="1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0" fillId="0" borderId="0" xfId="1" applyNumberFormat="1" applyFont="1"/>
    <xf numFmtId="43" fontId="0" fillId="0" borderId="0" xfId="2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0" applyNumberFormat="1"/>
    <xf numFmtId="0" fontId="2" fillId="6" borderId="1" xfId="0" applyFont="1" applyFill="1" applyBorder="1"/>
    <xf numFmtId="1" fontId="0" fillId="0" borderId="1" xfId="2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9" fontId="0" fillId="0" borderId="0" xfId="1" applyFont="1"/>
    <xf numFmtId="0" fontId="0" fillId="0" borderId="1" xfId="0" applyFill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/>
    </xf>
    <xf numFmtId="0" fontId="0" fillId="0" borderId="0" xfId="0" applyFill="1" applyBorder="1"/>
    <xf numFmtId="164" fontId="0" fillId="0" borderId="0" xfId="2" applyNumberFormat="1" applyFont="1" applyBorder="1" applyAlignment="1">
      <alignment horizontal="center" vertical="center"/>
    </xf>
    <xf numFmtId="43" fontId="0" fillId="0" borderId="1" xfId="2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 vertical="center"/>
    </xf>
    <xf numFmtId="164" fontId="0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3" fontId="0" fillId="0" borderId="0" xfId="2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left" vertical="center" indent="1"/>
    </xf>
    <xf numFmtId="164" fontId="0" fillId="0" borderId="0" xfId="2" applyNumberFormat="1" applyFont="1" applyFill="1" applyBorder="1"/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9" fillId="8" borderId="9" xfId="1" applyNumberFormat="1" applyFont="1" applyFill="1" applyBorder="1" applyAlignment="1">
      <alignment horizontal="center" vertical="center"/>
    </xf>
    <xf numFmtId="167" fontId="9" fillId="0" borderId="10" xfId="2" applyNumberFormat="1" applyFont="1" applyFill="1" applyBorder="1" applyAlignment="1">
      <alignment horizontal="right" vertical="center"/>
    </xf>
    <xf numFmtId="0" fontId="9" fillId="0" borderId="0" xfId="0" applyFont="1"/>
    <xf numFmtId="167" fontId="0" fillId="0" borderId="0" xfId="0" applyNumberFormat="1"/>
    <xf numFmtId="10" fontId="0" fillId="0" borderId="0" xfId="1" applyNumberFormat="1" applyFont="1"/>
    <xf numFmtId="167" fontId="10" fillId="0" borderId="10" xfId="2" applyNumberFormat="1" applyFont="1" applyFill="1" applyBorder="1" applyAlignment="1">
      <alignment horizontal="right" vertical="center"/>
    </xf>
    <xf numFmtId="43" fontId="0" fillId="0" borderId="0" xfId="0" applyNumberFormat="1"/>
    <xf numFmtId="0" fontId="0" fillId="0" borderId="0" xfId="0" applyAlignment="1">
      <alignment horizontal="center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4" xfId="0" quotePrefix="1" applyNumberFormat="1" applyFont="1" applyBorder="1" applyAlignment="1">
      <alignment horizontal="center" vertical="center" wrapText="1"/>
    </xf>
    <xf numFmtId="16" fontId="12" fillId="0" borderId="0" xfId="0" quotePrefix="1" applyNumberFormat="1" applyFont="1" applyAlignment="1">
      <alignment horizontal="center" vertical="center" wrapText="1"/>
    </xf>
    <xf numFmtId="16" fontId="12" fillId="0" borderId="14" xfId="0" quotePrefix="1" applyNumberFormat="1" applyFont="1" applyBorder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16" xfId="0" applyBorder="1"/>
    <xf numFmtId="10" fontId="12" fillId="0" borderId="6" xfId="0" applyNumberFormat="1" applyFont="1" applyBorder="1" applyAlignment="1">
      <alignment horizontal="center" vertical="center" wrapText="1"/>
    </xf>
    <xf numFmtId="10" fontId="12" fillId="0" borderId="17" xfId="0" applyNumberFormat="1" applyFont="1" applyBorder="1" applyAlignment="1">
      <alignment horizontal="center" vertical="center" wrapText="1"/>
    </xf>
    <xf numFmtId="10" fontId="12" fillId="0" borderId="15" xfId="0" applyNumberFormat="1" applyFont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/>
    </xf>
    <xf numFmtId="0" fontId="11" fillId="10" borderId="15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164" fontId="12" fillId="0" borderId="15" xfId="2" applyNumberFormat="1" applyFont="1" applyFill="1" applyBorder="1" applyAlignment="1">
      <alignment horizontal="center" vertical="center" wrapText="1"/>
    </xf>
    <xf numFmtId="164" fontId="12" fillId="0" borderId="6" xfId="2" applyNumberFormat="1" applyFont="1" applyFill="1" applyBorder="1" applyAlignment="1">
      <alignment horizontal="center" vertical="center" wrapText="1"/>
    </xf>
    <xf numFmtId="164" fontId="12" fillId="0" borderId="17" xfId="2" applyNumberFormat="1" applyFont="1" applyFill="1" applyBorder="1" applyAlignment="1">
      <alignment horizontal="center" vertical="center" wrapText="1"/>
    </xf>
    <xf numFmtId="164" fontId="12" fillId="11" borderId="15" xfId="2" applyNumberFormat="1" applyFont="1" applyFill="1" applyBorder="1" applyAlignment="1">
      <alignment horizontal="center" vertical="center" wrapText="1"/>
    </xf>
    <xf numFmtId="164" fontId="0" fillId="11" borderId="6" xfId="2" applyNumberFormat="1" applyFont="1" applyFill="1" applyBorder="1"/>
    <xf numFmtId="164" fontId="12" fillId="11" borderId="17" xfId="2" applyNumberFormat="1" applyFont="1" applyFill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center" vertical="center" wrapText="1"/>
    </xf>
    <xf numFmtId="10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5" fillId="0" borderId="0" xfId="0" applyFont="1" applyFill="1"/>
    <xf numFmtId="164" fontId="16" fillId="0" borderId="0" xfId="2" applyNumberFormat="1" applyFont="1"/>
    <xf numFmtId="0" fontId="5" fillId="0" borderId="0" xfId="0" applyFont="1" applyAlignment="1"/>
    <xf numFmtId="0" fontId="5" fillId="0" borderId="0" xfId="0" applyFont="1"/>
    <xf numFmtId="0" fontId="17" fillId="0" borderId="0" xfId="0" applyFont="1"/>
    <xf numFmtId="43" fontId="0" fillId="0" borderId="0" xfId="2" applyNumberFormat="1" applyFont="1"/>
    <xf numFmtId="169" fontId="0" fillId="0" borderId="0" xfId="0" applyNumberFormat="1"/>
    <xf numFmtId="2" fontId="0" fillId="0" borderId="0" xfId="0" applyNumberFormat="1"/>
    <xf numFmtId="166" fontId="0" fillId="0" borderId="0" xfId="1" applyNumberFormat="1" applyFont="1"/>
    <xf numFmtId="17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9" fontId="17" fillId="0" borderId="0" xfId="1" applyFont="1"/>
    <xf numFmtId="164" fontId="0" fillId="0" borderId="1" xfId="0" applyNumberFormat="1" applyBorder="1"/>
    <xf numFmtId="0" fontId="2" fillId="10" borderId="1" xfId="0" applyFont="1" applyFill="1" applyBorder="1" applyAlignment="1">
      <alignment horizontal="center" vertical="center"/>
    </xf>
    <xf numFmtId="164" fontId="0" fillId="13" borderId="1" xfId="2" applyNumberFormat="1" applyFont="1" applyFill="1" applyBorder="1" applyAlignment="1">
      <alignment horizontal="center"/>
    </xf>
    <xf numFmtId="164" fontId="0" fillId="12" borderId="1" xfId="2" applyNumberFormat="1" applyFont="1" applyFill="1" applyBorder="1" applyAlignment="1">
      <alignment horizontal="center"/>
    </xf>
    <xf numFmtId="164" fontId="0" fillId="14" borderId="1" xfId="2" applyNumberFormat="1" applyFont="1" applyFill="1" applyBorder="1" applyAlignment="1">
      <alignment horizontal="center"/>
    </xf>
    <xf numFmtId="43" fontId="0" fillId="0" borderId="1" xfId="2" applyFont="1" applyBorder="1" applyAlignment="1">
      <alignment horizontal="center"/>
    </xf>
    <xf numFmtId="0" fontId="2" fillId="10" borderId="19" xfId="0" applyFont="1" applyFill="1" applyBorder="1" applyAlignment="1">
      <alignment horizontal="center" vertical="center"/>
    </xf>
    <xf numFmtId="43" fontId="0" fillId="3" borderId="1" xfId="2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164" fontId="2" fillId="1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8" fontId="0" fillId="0" borderId="0" xfId="2" applyNumberFormat="1" applyFont="1"/>
    <xf numFmtId="170" fontId="0" fillId="0" borderId="0" xfId="0" applyNumberFormat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/>
    <xf numFmtId="164" fontId="0" fillId="0" borderId="0" xfId="0" applyNumberFormat="1" applyBorder="1" applyAlignment="1">
      <alignment horizontal="center"/>
    </xf>
    <xf numFmtId="0" fontId="18" fillId="0" borderId="0" xfId="0" applyFont="1"/>
    <xf numFmtId="0" fontId="11" fillId="10" borderId="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/>
    </xf>
    <xf numFmtId="43" fontId="0" fillId="0" borderId="1" xfId="2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wrapText="1"/>
    </xf>
    <xf numFmtId="172" fontId="0" fillId="0" borderId="0" xfId="1" applyNumberFormat="1" applyFont="1"/>
    <xf numFmtId="170" fontId="0" fillId="0" borderId="0" xfId="2" applyNumberFormat="1" applyFont="1"/>
    <xf numFmtId="164" fontId="0" fillId="0" borderId="0" xfId="0" applyNumberFormat="1" applyFill="1"/>
    <xf numFmtId="173" fontId="17" fillId="0" borderId="0" xfId="1" applyNumberFormat="1" applyFont="1"/>
    <xf numFmtId="171" fontId="0" fillId="0" borderId="0" xfId="2" applyNumberFormat="1" applyFont="1"/>
    <xf numFmtId="174" fontId="0" fillId="0" borderId="0" xfId="2" applyNumberFormat="1" applyFont="1"/>
    <xf numFmtId="173" fontId="0" fillId="0" borderId="0" xfId="1" applyNumberFormat="1" applyFont="1"/>
    <xf numFmtId="175" fontId="0" fillId="0" borderId="0" xfId="1" applyNumberFormat="1" applyFont="1"/>
    <xf numFmtId="0" fontId="0" fillId="0" borderId="1" xfId="0" applyFont="1" applyBorder="1" applyAlignment="1">
      <alignment horizontal="center"/>
    </xf>
    <xf numFmtId="0" fontId="2" fillId="17" borderId="1" xfId="0" applyFont="1" applyFill="1" applyBorder="1"/>
    <xf numFmtId="0" fontId="3" fillId="15" borderId="1" xfId="0" applyFont="1" applyFill="1" applyBorder="1" applyAlignment="1">
      <alignment horizontal="left" vertical="center" indent="1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horizontal="left" indent="1"/>
    </xf>
    <xf numFmtId="0" fontId="0" fillId="15" borderId="1" xfId="0" applyFill="1" applyBorder="1" applyAlignment="1">
      <alignment horizontal="left" wrapText="1" indent="1"/>
    </xf>
    <xf numFmtId="0" fontId="3" fillId="16" borderId="1" xfId="0" applyFont="1" applyFill="1" applyBorder="1" applyAlignment="1">
      <alignment horizontal="left" vertical="center" indent="1"/>
    </xf>
    <xf numFmtId="0" fontId="0" fillId="16" borderId="1" xfId="0" applyFill="1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1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11" fillId="10" borderId="20" xfId="0" applyFont="1" applyFill="1" applyBorder="1" applyAlignment="1">
      <alignment horizontal="center" vertical="center" wrapText="1"/>
    </xf>
    <xf numFmtId="164" fontId="0" fillId="0" borderId="15" xfId="2" applyNumberFormat="1" applyFont="1" applyFill="1" applyBorder="1"/>
    <xf numFmtId="164" fontId="0" fillId="0" borderId="6" xfId="2" applyNumberFormat="1" applyFont="1" applyFill="1" applyBorder="1"/>
    <xf numFmtId="164" fontId="0" fillId="0" borderId="21" xfId="2" applyNumberFormat="1" applyFont="1" applyFill="1" applyBorder="1"/>
    <xf numFmtId="164" fontId="0" fillId="0" borderId="22" xfId="2" applyNumberFormat="1" applyFont="1" applyFill="1" applyBorder="1"/>
    <xf numFmtId="164" fontId="0" fillId="0" borderId="17" xfId="2" applyNumberFormat="1" applyFont="1" applyFill="1" applyBorder="1"/>
    <xf numFmtId="10" fontId="0" fillId="3" borderId="0" xfId="1" applyNumberFormat="1" applyFont="1" applyFill="1" applyAlignment="1">
      <alignment horizontal="center"/>
    </xf>
    <xf numFmtId="164" fontId="15" fillId="0" borderId="0" xfId="0" applyNumberFormat="1" applyFont="1"/>
    <xf numFmtId="0" fontId="20" fillId="0" borderId="0" xfId="0" applyFont="1"/>
    <xf numFmtId="0" fontId="20" fillId="0" borderId="1" xfId="0" applyFont="1" applyBorder="1" applyAlignment="1">
      <alignment horizontal="center"/>
    </xf>
    <xf numFmtId="9" fontId="20" fillId="0" borderId="0" xfId="0" applyNumberFormat="1" applyFont="1"/>
    <xf numFmtId="0" fontId="19" fillId="18" borderId="1" xfId="0" applyFont="1" applyFill="1" applyBorder="1"/>
    <xf numFmtId="164" fontId="19" fillId="18" borderId="1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6" borderId="1" xfId="0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0" fillId="11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left"/>
    </xf>
    <xf numFmtId="0" fontId="0" fillId="18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13" borderId="1" xfId="0" applyFont="1" applyFill="1" applyBorder="1" applyAlignment="1">
      <alignment horizontal="left"/>
    </xf>
    <xf numFmtId="0" fontId="20" fillId="13" borderId="1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left"/>
    </xf>
    <xf numFmtId="164" fontId="20" fillId="13" borderId="1" xfId="2" applyNumberFormat="1" applyFont="1" applyFill="1" applyBorder="1" applyAlignment="1">
      <alignment horizontal="center"/>
    </xf>
    <xf numFmtId="43" fontId="20" fillId="13" borderId="1" xfId="2" applyFont="1" applyFill="1" applyBorder="1" applyAlignment="1">
      <alignment horizontal="center"/>
    </xf>
    <xf numFmtId="164" fontId="3" fillId="13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left"/>
    </xf>
    <xf numFmtId="0" fontId="20" fillId="12" borderId="1" xfId="0" applyFont="1" applyFill="1" applyBorder="1" applyAlignment="1">
      <alignment horizontal="center"/>
    </xf>
    <xf numFmtId="0" fontId="20" fillId="12" borderId="1" xfId="0" applyFont="1" applyFill="1" applyBorder="1" applyAlignment="1">
      <alignment horizontal="left"/>
    </xf>
    <xf numFmtId="164" fontId="20" fillId="12" borderId="1" xfId="2" applyNumberFormat="1" applyFont="1" applyFill="1" applyBorder="1" applyAlignment="1">
      <alignment horizontal="center"/>
    </xf>
    <xf numFmtId="164" fontId="3" fillId="12" borderId="1" xfId="0" applyNumberFormat="1" applyFont="1" applyFill="1" applyBorder="1" applyAlignment="1">
      <alignment horizontal="center"/>
    </xf>
    <xf numFmtId="0" fontId="3" fillId="17" borderId="1" xfId="0" applyFont="1" applyFill="1" applyBorder="1" applyAlignment="1">
      <alignment horizontal="left"/>
    </xf>
    <xf numFmtId="164" fontId="3" fillId="17" borderId="1" xfId="0" applyNumberFormat="1" applyFont="1" applyFill="1" applyBorder="1" applyAlignment="1">
      <alignment horizontal="center"/>
    </xf>
    <xf numFmtId="164" fontId="3" fillId="17" borderId="1" xfId="2" applyNumberFormat="1" applyFont="1" applyFill="1" applyBorder="1" applyAlignment="1">
      <alignment horizontal="center"/>
    </xf>
    <xf numFmtId="0" fontId="3" fillId="11" borderId="1" xfId="0" applyFont="1" applyFill="1" applyBorder="1" applyAlignment="1">
      <alignment horizontal="left"/>
    </xf>
    <xf numFmtId="0" fontId="20" fillId="11" borderId="1" xfId="0" applyFont="1" applyFill="1" applyBorder="1" applyAlignment="1">
      <alignment horizontal="center"/>
    </xf>
    <xf numFmtId="0" fontId="20" fillId="11" borderId="1" xfId="0" applyFont="1" applyFill="1" applyBorder="1" applyAlignment="1">
      <alignment horizontal="left"/>
    </xf>
    <xf numFmtId="164" fontId="20" fillId="11" borderId="1" xfId="2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center"/>
    </xf>
    <xf numFmtId="0" fontId="3" fillId="19" borderId="1" xfId="0" applyFont="1" applyFill="1" applyBorder="1" applyAlignment="1">
      <alignment horizontal="left"/>
    </xf>
    <xf numFmtId="164" fontId="20" fillId="19" borderId="1" xfId="0" applyNumberFormat="1" applyFont="1" applyFill="1" applyBorder="1" applyAlignment="1">
      <alignment horizontal="center"/>
    </xf>
    <xf numFmtId="0" fontId="20" fillId="19" borderId="1" xfId="0" applyFont="1" applyFill="1" applyBorder="1" applyAlignment="1">
      <alignment horizontal="left"/>
    </xf>
    <xf numFmtId="164" fontId="3" fillId="19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left" vertical="center" indent="1"/>
    </xf>
    <xf numFmtId="0" fontId="19" fillId="5" borderId="1" xfId="0" applyFont="1" applyFill="1" applyBorder="1" applyAlignment="1">
      <alignment horizontal="left" vertical="center" indent="1"/>
    </xf>
    <xf numFmtId="164" fontId="19" fillId="5" borderId="1" xfId="0" applyNumberFormat="1" applyFont="1" applyFill="1" applyBorder="1" applyAlignment="1">
      <alignment horizontal="left" vertical="center" indent="1"/>
    </xf>
    <xf numFmtId="164" fontId="19" fillId="5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indent="1"/>
    </xf>
    <xf numFmtId="164" fontId="15" fillId="4" borderId="1" xfId="2" applyNumberFormat="1" applyFont="1" applyFill="1" applyBorder="1" applyAlignment="1">
      <alignment horizontal="center" vertical="center"/>
    </xf>
    <xf numFmtId="164" fontId="15" fillId="4" borderId="1" xfId="2" applyNumberFormat="1" applyFont="1" applyFill="1" applyBorder="1" applyAlignment="1">
      <alignment horizontal="left" indent="1"/>
    </xf>
    <xf numFmtId="164" fontId="15" fillId="4" borderId="1" xfId="2" applyNumberFormat="1" applyFont="1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wrapText="1" indent="1"/>
    </xf>
    <xf numFmtId="164" fontId="15" fillId="4" borderId="1" xfId="0" applyNumberFormat="1" applyFont="1" applyFill="1" applyBorder="1" applyAlignment="1">
      <alignment horizontal="left" vertical="center" indent="1"/>
    </xf>
    <xf numFmtId="0" fontId="19" fillId="20" borderId="1" xfId="0" applyFont="1" applyFill="1" applyBorder="1" applyAlignment="1">
      <alignment horizontal="center" vertical="center"/>
    </xf>
    <xf numFmtId="164" fontId="19" fillId="20" borderId="1" xfId="0" applyNumberFormat="1" applyFont="1" applyFill="1" applyBorder="1" applyAlignment="1">
      <alignment horizontal="center" vertical="center"/>
    </xf>
    <xf numFmtId="0" fontId="19" fillId="17" borderId="1" xfId="0" applyFont="1" applyFill="1" applyBorder="1" applyAlignment="1">
      <alignment horizontal="left" vertical="center" indent="1"/>
    </xf>
    <xf numFmtId="0" fontId="15" fillId="17" borderId="0" xfId="0" applyFont="1" applyFill="1"/>
    <xf numFmtId="0" fontId="15" fillId="17" borderId="1" xfId="0" applyFont="1" applyFill="1" applyBorder="1"/>
    <xf numFmtId="0" fontId="15" fillId="17" borderId="1" xfId="0" applyFont="1" applyFill="1" applyBorder="1" applyAlignment="1">
      <alignment horizontal="left" indent="1"/>
    </xf>
    <xf numFmtId="164" fontId="15" fillId="17" borderId="1" xfId="2" applyNumberFormat="1" applyFont="1" applyFill="1" applyBorder="1"/>
    <xf numFmtId="0" fontId="20" fillId="0" borderId="5" xfId="0" applyFont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indent="1"/>
    </xf>
    <xf numFmtId="164" fontId="2" fillId="10" borderId="1" xfId="0" applyNumberFormat="1" applyFont="1" applyFill="1" applyBorder="1"/>
    <xf numFmtId="0" fontId="3" fillId="13" borderId="1" xfId="2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164" fontId="12" fillId="0" borderId="0" xfId="2" applyNumberFormat="1" applyFont="1" applyAlignment="1">
      <alignment horizontal="center" vertical="center" wrapText="1"/>
    </xf>
    <xf numFmtId="164" fontId="12" fillId="0" borderId="14" xfId="2" applyNumberFormat="1" applyFont="1" applyBorder="1" applyAlignment="1">
      <alignment horizontal="center" vertical="center" wrapText="1"/>
    </xf>
    <xf numFmtId="164" fontId="12" fillId="0" borderId="13" xfId="2" applyNumberFormat="1" applyFont="1" applyBorder="1" applyAlignment="1">
      <alignment horizontal="center" vertical="center" wrapText="1"/>
    </xf>
    <xf numFmtId="9" fontId="12" fillId="0" borderId="0" xfId="1" applyFont="1" applyFill="1" applyBorder="1" applyAlignment="1">
      <alignment horizontal="center" vertical="center" wrapText="1"/>
    </xf>
    <xf numFmtId="0" fontId="21" fillId="0" borderId="0" xfId="0" applyFont="1"/>
    <xf numFmtId="0" fontId="2" fillId="6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9" fillId="20" borderId="5" xfId="0" applyFont="1" applyFill="1" applyBorder="1" applyAlignment="1">
      <alignment horizontal="center"/>
    </xf>
    <xf numFmtId="0" fontId="19" fillId="20" borderId="6" xfId="0" applyFont="1" applyFill="1" applyBorder="1" applyAlignment="1">
      <alignment horizontal="center"/>
    </xf>
    <xf numFmtId="0" fontId="19" fillId="20" borderId="7" xfId="0" applyFont="1" applyFill="1" applyBorder="1" applyAlignment="1">
      <alignment horizontal="center"/>
    </xf>
    <xf numFmtId="0" fontId="19" fillId="20" borderId="1" xfId="0" applyFont="1" applyFill="1" applyBorder="1" applyAlignment="1">
      <alignment horizontal="center"/>
    </xf>
    <xf numFmtId="0" fontId="19" fillId="20" borderId="1" xfId="0" applyFont="1" applyFill="1" applyBorder="1" applyAlignment="1">
      <alignment horizontal="center" vertical="center"/>
    </xf>
  </cellXfs>
  <cellStyles count="4">
    <cellStyle name="Comma" xfId="2" builtinId="3"/>
    <cellStyle name="Comma [0]" xfId="3" builtinId="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8C85-4E8B-A8F8-C6BD18ECED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C85-4E8B-A8F8-C6BD18ECED81}"/>
              </c:ext>
            </c:extLst>
          </c:dPt>
          <c:dLbls>
            <c:dLbl>
              <c:idx val="0"/>
              <c:layout>
                <c:manualLayout>
                  <c:x val="-7.4826035816378922E-2"/>
                  <c:y val="-0.3461272451498339"/>
                </c:manualLayout>
              </c:layout>
              <c:tx>
                <c:rich>
                  <a:bodyPr/>
                  <a:lstStyle/>
                  <a:p>
                    <a:fld id="{618D0C40-A741-439F-9EFF-6D3C4DC624BB}" type="CATEGORYNAME">
                      <a:rPr lang="en-US" sz="1200"/>
                      <a:pPr/>
                      <a:t>[CATEGORY NAME]</a:t>
                    </a:fld>
                    <a:r>
                      <a:rPr lang="en-US" sz="1200" baseline="0"/>
                      <a:t>, </a:t>
                    </a:r>
                  </a:p>
                  <a:p>
                    <a:fld id="{1A4711C5-2910-4CB7-9EE0-71B184D25843}" type="VALUE">
                      <a:rPr lang="en-US" sz="1200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C85-4E8B-A8F8-C6BD18ECED81}"/>
                </c:ext>
              </c:extLst>
            </c:dLbl>
            <c:dLbl>
              <c:idx val="1"/>
              <c:layout>
                <c:manualLayout>
                  <c:x val="9.9187714888685719E-2"/>
                  <c:y val="0.18007123046206447"/>
                </c:manualLayout>
              </c:layout>
              <c:tx>
                <c:rich>
                  <a:bodyPr/>
                  <a:lstStyle/>
                  <a:p>
                    <a:fld id="{15201D6F-60F9-469C-851C-0E68788758D1}" type="CATEGORYNAME">
                      <a:rPr lang="en-US" sz="1200"/>
                      <a:pPr/>
                      <a:t>[CATEGORY NAME]</a:t>
                    </a:fld>
                    <a:r>
                      <a:rPr lang="en-US" sz="1200" baseline="0"/>
                      <a:t>, </a:t>
                    </a:r>
                  </a:p>
                  <a:p>
                    <a:fld id="{43246740-9CBF-4F81-9692-C82FA749F9D7}" type="VALUE">
                      <a:rPr lang="en-US" sz="1200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C85-4E8B-A8F8-C6BD18ECED8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'aspek market'!$H$35:$H$36</c:f>
              <c:strCache>
                <c:ptCount val="2"/>
                <c:pt idx="0">
                  <c:v>FCL</c:v>
                </c:pt>
                <c:pt idx="1">
                  <c:v>LCL</c:v>
                </c:pt>
              </c:strCache>
            </c:strRef>
          </c:cat>
          <c:val>
            <c:numRef>
              <c:f>'aspek market'!$I$35:$I$36</c:f>
              <c:numCache>
                <c:formatCode>0.00%</c:formatCode>
                <c:ptCount val="2"/>
                <c:pt idx="0">
                  <c:v>0.7833</c:v>
                </c:pt>
                <c:pt idx="1">
                  <c:v>0.21629999999999999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5-4E8B-A8F8-C6BD18ECED81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'energi, SDM, maintanance'!$C$8</c:f>
              <c:strCache>
                <c:ptCount val="1"/>
                <c:pt idx="0">
                  <c:v>Pemeiharaan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elete val="1"/>
          </c:dLbls>
          <c:cat>
            <c:numRef>
              <c:f>'energi, SDM, maintanance'!$D$5:$AG$5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'energi, SDM, maintanance'!$D$8:$AG$8</c:f>
              <c:numCache>
                <c:formatCode>_(* #,##0_);_(* \(#,##0\);_(* "-"??_);_(@_)</c:formatCode>
                <c:ptCount val="30"/>
                <c:pt idx="0">
                  <c:v>57137</c:v>
                </c:pt>
                <c:pt idx="1">
                  <c:v>59993.85</c:v>
                </c:pt>
                <c:pt idx="2">
                  <c:v>62993.542499999996</c:v>
                </c:pt>
                <c:pt idx="3">
                  <c:v>66143.219624999998</c:v>
                </c:pt>
                <c:pt idx="4">
                  <c:v>69450.380606249993</c:v>
                </c:pt>
                <c:pt idx="5">
                  <c:v>72922.899636562492</c:v>
                </c:pt>
                <c:pt idx="6">
                  <c:v>76569.044618390617</c:v>
                </c:pt>
                <c:pt idx="7">
                  <c:v>80397.496849310148</c:v>
                </c:pt>
                <c:pt idx="8">
                  <c:v>84417.371691775654</c:v>
                </c:pt>
                <c:pt idx="9">
                  <c:v>202912.24027636443</c:v>
                </c:pt>
                <c:pt idx="10">
                  <c:v>93070.152290182654</c:v>
                </c:pt>
                <c:pt idx="11">
                  <c:v>97723.659904691784</c:v>
                </c:pt>
                <c:pt idx="12">
                  <c:v>102609.84289992637</c:v>
                </c:pt>
                <c:pt idx="13">
                  <c:v>107740.33504492269</c:v>
                </c:pt>
                <c:pt idx="14">
                  <c:v>113127.35179716881</c:v>
                </c:pt>
                <c:pt idx="15">
                  <c:v>118783.71938702726</c:v>
                </c:pt>
                <c:pt idx="16">
                  <c:v>124722.90535637863</c:v>
                </c:pt>
                <c:pt idx="17">
                  <c:v>130959.05062419757</c:v>
                </c:pt>
                <c:pt idx="18">
                  <c:v>137507.00315540744</c:v>
                </c:pt>
                <c:pt idx="19">
                  <c:v>258656.35331317782</c:v>
                </c:pt>
                <c:pt idx="20">
                  <c:v>151601.4709788367</c:v>
                </c:pt>
                <c:pt idx="21">
                  <c:v>159181.54452777855</c:v>
                </c:pt>
                <c:pt idx="22">
                  <c:v>167140.62175416749</c:v>
                </c:pt>
                <c:pt idx="23">
                  <c:v>175497.65284187585</c:v>
                </c:pt>
                <c:pt idx="24">
                  <c:v>184272.53548396964</c:v>
                </c:pt>
                <c:pt idx="25">
                  <c:v>193486.16225816813</c:v>
                </c:pt>
                <c:pt idx="26">
                  <c:v>203160.47037107655</c:v>
                </c:pt>
                <c:pt idx="27">
                  <c:v>213318.49388963036</c:v>
                </c:pt>
                <c:pt idx="28">
                  <c:v>223984.41858411187</c:v>
                </c:pt>
                <c:pt idx="29">
                  <c:v>349457.6395133175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1-4097-9C79-57620D37C1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960360960"/>
        <c:axId val="960349312"/>
      </c:barChart>
      <c:catAx>
        <c:axId val="96036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349312"/>
        <c:crosses val="autoZero"/>
        <c:auto val="1"/>
        <c:lblAlgn val="ctr"/>
        <c:lblOffset val="100"/>
        <c:noMultiLvlLbl val="0"/>
      </c:catAx>
      <c:valAx>
        <c:axId val="96034931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36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'depresiasi, bunga, asuransi'!$C$6</c:f>
              <c:strCache>
                <c:ptCount val="1"/>
                <c:pt idx="0">
                  <c:v>depresiasi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numRef>
              <c:f>'depresiasi, bunga, asuransi'!$D$5:$AG$5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'depresiasi, bunga, asuransi'!$D$6:$AG$6</c:f>
              <c:numCache>
                <c:formatCode>_(* #,##0_);_(* \(#,##0\);_(* "-"??_);_(@_)</c:formatCode>
                <c:ptCount val="30"/>
                <c:pt idx="0">
                  <c:v>101290</c:v>
                </c:pt>
                <c:pt idx="1">
                  <c:v>101290</c:v>
                </c:pt>
                <c:pt idx="2">
                  <c:v>101290</c:v>
                </c:pt>
                <c:pt idx="3">
                  <c:v>101290</c:v>
                </c:pt>
                <c:pt idx="4">
                  <c:v>101290</c:v>
                </c:pt>
                <c:pt idx="5">
                  <c:v>101290</c:v>
                </c:pt>
                <c:pt idx="6">
                  <c:v>101290</c:v>
                </c:pt>
                <c:pt idx="7">
                  <c:v>101290</c:v>
                </c:pt>
                <c:pt idx="8">
                  <c:v>101290</c:v>
                </c:pt>
                <c:pt idx="9">
                  <c:v>101290</c:v>
                </c:pt>
                <c:pt idx="10">
                  <c:v>101290</c:v>
                </c:pt>
                <c:pt idx="11">
                  <c:v>101290</c:v>
                </c:pt>
                <c:pt idx="12">
                  <c:v>101290</c:v>
                </c:pt>
                <c:pt idx="13">
                  <c:v>101290</c:v>
                </c:pt>
                <c:pt idx="14">
                  <c:v>101290</c:v>
                </c:pt>
                <c:pt idx="15">
                  <c:v>101290</c:v>
                </c:pt>
                <c:pt idx="16">
                  <c:v>101290</c:v>
                </c:pt>
                <c:pt idx="17">
                  <c:v>101290</c:v>
                </c:pt>
                <c:pt idx="18">
                  <c:v>101290</c:v>
                </c:pt>
                <c:pt idx="19">
                  <c:v>101290</c:v>
                </c:pt>
                <c:pt idx="20">
                  <c:v>101290</c:v>
                </c:pt>
                <c:pt idx="21">
                  <c:v>101290</c:v>
                </c:pt>
                <c:pt idx="22">
                  <c:v>101290</c:v>
                </c:pt>
                <c:pt idx="23">
                  <c:v>101290</c:v>
                </c:pt>
                <c:pt idx="24">
                  <c:v>101290</c:v>
                </c:pt>
                <c:pt idx="25">
                  <c:v>101290</c:v>
                </c:pt>
                <c:pt idx="26">
                  <c:v>101290</c:v>
                </c:pt>
                <c:pt idx="27">
                  <c:v>101290</c:v>
                </c:pt>
                <c:pt idx="28">
                  <c:v>101290</c:v>
                </c:pt>
                <c:pt idx="29">
                  <c:v>101290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D-401C-B191-9E26F3084B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15292319"/>
        <c:axId val="1415306463"/>
        <c:axId val="0"/>
      </c:bar3DChart>
      <c:catAx>
        <c:axId val="1415292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306463"/>
        <c:crosses val="autoZero"/>
        <c:auto val="1"/>
        <c:lblAlgn val="ctr"/>
        <c:lblOffset val="100"/>
        <c:noMultiLvlLbl val="0"/>
      </c:catAx>
      <c:valAx>
        <c:axId val="141530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292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'depresiasi, bunga, asuransi'!$C$8</c:f>
              <c:strCache>
                <c:ptCount val="1"/>
                <c:pt idx="0">
                  <c:v>asuransi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numRef>
              <c:f>'depresiasi, bunga, asuransi'!$D$5:$AG$5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'depresiasi, bunga, asuransi'!$D$8:$AG$8</c:f>
              <c:numCache>
                <c:formatCode>_(* #,##0_);_(* \(#,##0\);_(* "-"??_);_(@_)</c:formatCode>
                <c:ptCount val="30"/>
                <c:pt idx="0">
                  <c:v>8508</c:v>
                </c:pt>
                <c:pt idx="1">
                  <c:v>8508</c:v>
                </c:pt>
                <c:pt idx="2">
                  <c:v>8508</c:v>
                </c:pt>
                <c:pt idx="3">
                  <c:v>8508</c:v>
                </c:pt>
                <c:pt idx="4">
                  <c:v>8508</c:v>
                </c:pt>
                <c:pt idx="5">
                  <c:v>8508</c:v>
                </c:pt>
                <c:pt idx="6">
                  <c:v>8508</c:v>
                </c:pt>
                <c:pt idx="7">
                  <c:v>8508</c:v>
                </c:pt>
                <c:pt idx="8">
                  <c:v>8508</c:v>
                </c:pt>
                <c:pt idx="9">
                  <c:v>8508</c:v>
                </c:pt>
                <c:pt idx="10">
                  <c:v>8508</c:v>
                </c:pt>
                <c:pt idx="11">
                  <c:v>8508</c:v>
                </c:pt>
                <c:pt idx="12">
                  <c:v>8508</c:v>
                </c:pt>
                <c:pt idx="13">
                  <c:v>8508</c:v>
                </c:pt>
                <c:pt idx="14">
                  <c:v>8508</c:v>
                </c:pt>
                <c:pt idx="15">
                  <c:v>8508</c:v>
                </c:pt>
                <c:pt idx="16">
                  <c:v>8508</c:v>
                </c:pt>
                <c:pt idx="17">
                  <c:v>8508</c:v>
                </c:pt>
                <c:pt idx="18">
                  <c:v>8508</c:v>
                </c:pt>
                <c:pt idx="19">
                  <c:v>8508</c:v>
                </c:pt>
                <c:pt idx="20">
                  <c:v>8508</c:v>
                </c:pt>
                <c:pt idx="21">
                  <c:v>8508</c:v>
                </c:pt>
                <c:pt idx="22">
                  <c:v>8508</c:v>
                </c:pt>
                <c:pt idx="23">
                  <c:v>8508</c:v>
                </c:pt>
                <c:pt idx="24">
                  <c:v>8508</c:v>
                </c:pt>
                <c:pt idx="25">
                  <c:v>8508</c:v>
                </c:pt>
                <c:pt idx="26">
                  <c:v>8508</c:v>
                </c:pt>
                <c:pt idx="27">
                  <c:v>8508</c:v>
                </c:pt>
                <c:pt idx="28">
                  <c:v>8508</c:v>
                </c:pt>
                <c:pt idx="29">
                  <c:v>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5-46BE-9CBB-446BD4BDC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93607551"/>
        <c:axId val="1193613791"/>
        <c:axId val="0"/>
      </c:bar3DChart>
      <c:catAx>
        <c:axId val="119360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613791"/>
        <c:crosses val="autoZero"/>
        <c:auto val="1"/>
        <c:lblAlgn val="ctr"/>
        <c:lblOffset val="100"/>
        <c:noMultiLvlLbl val="0"/>
      </c:catAx>
      <c:valAx>
        <c:axId val="119361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60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'depresiasi, bunga, asuransi'!$C$7</c:f>
              <c:strCache>
                <c:ptCount val="1"/>
                <c:pt idx="0">
                  <c:v>cicilan bunga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numRef>
              <c:f>'depresiasi, bunga, asuransi'!$D$5:$O$5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</c:numCache>
            </c:numRef>
          </c:cat>
          <c:val>
            <c:numRef>
              <c:f>'depresiasi, bunga, asuransi'!$D$7:$O$7</c:f>
              <c:numCache>
                <c:formatCode>_(* #,##0_);_(* \(#,##0\);_(* "-"??_);_(@_)</c:formatCode>
                <c:ptCount val="12"/>
                <c:pt idx="0">
                  <c:v>236721.3</c:v>
                </c:pt>
                <c:pt idx="1">
                  <c:v>224516.13000000003</c:v>
                </c:pt>
                <c:pt idx="2">
                  <c:v>210847.31</c:v>
                </c:pt>
                <c:pt idx="3">
                  <c:v>195539.37000000002</c:v>
                </c:pt>
                <c:pt idx="4">
                  <c:v>178395.75000000003</c:v>
                </c:pt>
                <c:pt idx="5">
                  <c:v>159196.30000000002</c:v>
                </c:pt>
                <c:pt idx="6">
                  <c:v>137694.47999999998</c:v>
                </c:pt>
                <c:pt idx="7">
                  <c:v>113614.22</c:v>
                </c:pt>
                <c:pt idx="8">
                  <c:v>86646.319999999992</c:v>
                </c:pt>
                <c:pt idx="9">
                  <c:v>56444.45</c:v>
                </c:pt>
                <c:pt idx="10">
                  <c:v>22620.880000000001</c:v>
                </c:pt>
                <c:pt idx="11">
                  <c:v>225.86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E-45D0-A4A4-BAE9CE883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9783024"/>
        <c:axId val="1119785936"/>
        <c:axId val="0"/>
      </c:bar3DChart>
      <c:catAx>
        <c:axId val="111978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85936"/>
        <c:crosses val="autoZero"/>
        <c:auto val="1"/>
        <c:lblAlgn val="ctr"/>
        <c:lblOffset val="100"/>
        <c:noMultiLvlLbl val="0"/>
      </c:catAx>
      <c:valAx>
        <c:axId val="111978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8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numRef>
              <c:f>pendapatan!$E$3:$AH$3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pendapatan!$E$24:$AH$24</c:f>
              <c:numCache>
                <c:formatCode>_(* #,##0_);_(* \(#,##0\);_(* "-"??_);_(@_)</c:formatCode>
                <c:ptCount val="30"/>
                <c:pt idx="0">
                  <c:v>501829</c:v>
                </c:pt>
                <c:pt idx="1">
                  <c:v>552011.90000000014</c:v>
                </c:pt>
                <c:pt idx="2">
                  <c:v>607213.09000000008</c:v>
                </c:pt>
                <c:pt idx="3">
                  <c:v>667934.39899999998</c:v>
                </c:pt>
                <c:pt idx="4">
                  <c:v>734727.83889999997</c:v>
                </c:pt>
                <c:pt idx="5">
                  <c:v>808200.62278999994</c:v>
                </c:pt>
                <c:pt idx="6">
                  <c:v>889020.68506900012</c:v>
                </c:pt>
                <c:pt idx="7">
                  <c:v>977922.75357589999</c:v>
                </c:pt>
                <c:pt idx="8">
                  <c:v>1075715.0289334902</c:v>
                </c:pt>
                <c:pt idx="9">
                  <c:v>1183286.5318268391</c:v>
                </c:pt>
                <c:pt idx="10">
                  <c:v>1357709.463707183</c:v>
                </c:pt>
                <c:pt idx="11">
                  <c:v>1493480.4100779013</c:v>
                </c:pt>
                <c:pt idx="12">
                  <c:v>1642828.4510856916</c:v>
                </c:pt>
                <c:pt idx="13">
                  <c:v>1807111.2961942605</c:v>
                </c:pt>
                <c:pt idx="14">
                  <c:v>1987822.4258136868</c:v>
                </c:pt>
                <c:pt idx="15">
                  <c:v>2186604.6683950555</c:v>
                </c:pt>
                <c:pt idx="16">
                  <c:v>2405265.1352345604</c:v>
                </c:pt>
                <c:pt idx="17">
                  <c:v>2645791.6487580165</c:v>
                </c:pt>
                <c:pt idx="18">
                  <c:v>2910370.8136338182</c:v>
                </c:pt>
                <c:pt idx="19">
                  <c:v>3201407.8949972005</c:v>
                </c:pt>
                <c:pt idx="20">
                  <c:v>3521548.6844969215</c:v>
                </c:pt>
                <c:pt idx="21">
                  <c:v>3873703.5529466127</c:v>
                </c:pt>
                <c:pt idx="22">
                  <c:v>4261073.9082412748</c:v>
                </c:pt>
                <c:pt idx="23">
                  <c:v>4687181.2990654008</c:v>
                </c:pt>
                <c:pt idx="24">
                  <c:v>5155899.4289719416</c:v>
                </c:pt>
                <c:pt idx="25">
                  <c:v>5671489.3718691366</c:v>
                </c:pt>
                <c:pt idx="26">
                  <c:v>6238638.3090560492</c:v>
                </c:pt>
                <c:pt idx="27">
                  <c:v>6862502.1399616534</c:v>
                </c:pt>
                <c:pt idx="28">
                  <c:v>7548752.3539578198</c:v>
                </c:pt>
                <c:pt idx="29">
                  <c:v>8303627.5893536005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8-437C-8C4B-A56A6E6E7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03774047"/>
        <c:axId val="403776127"/>
      </c:barChart>
      <c:catAx>
        <c:axId val="4037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776127"/>
        <c:crosses val="autoZero"/>
        <c:auto val="1"/>
        <c:lblAlgn val="ctr"/>
        <c:lblOffset val="100"/>
        <c:noMultiLvlLbl val="0"/>
      </c:catAx>
      <c:valAx>
        <c:axId val="403776127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77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'laba rugi'!$C$22</c:f>
              <c:strCache>
                <c:ptCount val="1"/>
                <c:pt idx="0">
                  <c:v>Net Earning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'laba rugi'!$D$3:$AG$3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</c:numCache>
            </c:numRef>
          </c:cat>
          <c:val>
            <c:numRef>
              <c:f>'laba rugi'!$D$22:$AG$22</c:f>
              <c:numCache>
                <c:formatCode>_(* #,##0_);_(* \(#,##0\);_(* "-"??_);_(@_)</c:formatCode>
                <c:ptCount val="30"/>
                <c:pt idx="0">
                  <c:v>-127284.29999999999</c:v>
                </c:pt>
                <c:pt idx="1">
                  <c:v>-79025.929999999906</c:v>
                </c:pt>
                <c:pt idx="2">
                  <c:v>-24992.104999999923</c:v>
                </c:pt>
                <c:pt idx="3">
                  <c:v>26594.362312499965</c:v>
                </c:pt>
                <c:pt idx="4">
                  <c:v>77279.486765624926</c:v>
                </c:pt>
                <c:pt idx="5">
                  <c:v>133902.60818765615</c:v>
                </c:pt>
                <c:pt idx="6">
                  <c:v>197118.91320166414</c:v>
                </c:pt>
                <c:pt idx="7">
                  <c:v>267654.29755183478</c:v>
                </c:pt>
                <c:pt idx="8">
                  <c:v>346312.99893852288</c:v>
                </c:pt>
                <c:pt idx="9">
                  <c:v>348280.52697045478</c:v>
                </c:pt>
                <c:pt idx="10">
                  <c:v>573731.05166072899</c:v>
                </c:pt>
                <c:pt idx="11">
                  <c:v>675093.68213278486</c:v>
                </c:pt>
                <c:pt idx="12">
                  <c:v>769149.17136734538</c:v>
                </c:pt>
                <c:pt idx="13">
                  <c:v>873330.12185142597</c:v>
                </c:pt>
                <c:pt idx="14">
                  <c:v>988880.72655128222</c:v>
                </c:pt>
                <c:pt idx="15">
                  <c:v>1116985.5288468595</c:v>
                </c:pt>
                <c:pt idx="16">
                  <c:v>1258949.9053540167</c:v>
                </c:pt>
                <c:pt idx="17">
                  <c:v>1416212.2681930135</c:v>
                </c:pt>
                <c:pt idx="18">
                  <c:v>1590357.4934310901</c:v>
                </c:pt>
                <c:pt idx="19">
                  <c:v>1697426.1986139128</c:v>
                </c:pt>
                <c:pt idx="20">
                  <c:v>1996458.5046070043</c:v>
                </c:pt>
                <c:pt idx="21">
                  <c:v>2232456.9305059882</c:v>
                </c:pt>
                <c:pt idx="22">
                  <c:v>2493461.0852667866</c:v>
                </c:pt>
                <c:pt idx="23">
                  <c:v>2782041.8360891724</c:v>
                </c:pt>
                <c:pt idx="24">
                  <c:v>3101030.6516085844</c:v>
                </c:pt>
                <c:pt idx="25">
                  <c:v>3453545.8377754623</c:v>
                </c:pt>
                <c:pt idx="26">
                  <c:v>3843021.4061093265</c:v>
                </c:pt>
                <c:pt idx="27">
                  <c:v>4273238.8380043944</c:v>
                </c:pt>
                <c:pt idx="28">
                  <c:v>4748362.0351531766</c:v>
                </c:pt>
                <c:pt idx="29">
                  <c:v>5187270.2751842532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F-446E-A240-9698681F6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659951"/>
        <c:axId val="2062662447"/>
      </c:lineChart>
      <c:catAx>
        <c:axId val="206265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662447"/>
        <c:crosses val="autoZero"/>
        <c:auto val="1"/>
        <c:lblAlgn val="ctr"/>
        <c:lblOffset val="100"/>
        <c:noMultiLvlLbl val="0"/>
      </c:catAx>
      <c:valAx>
        <c:axId val="2062662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659951"/>
        <c:crosses val="autoZero"/>
        <c:crossBetween val="between"/>
        <c:min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cashflow!$B$19</c:f>
              <c:strCache>
                <c:ptCount val="1"/>
                <c:pt idx="0">
                  <c:v>Beginning Cash Balance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cashflow!$C$4:$AH$4</c:f>
              <c:numCache>
                <c:formatCode>_(* #,##0_);_(* \(#,##0\);_(* "-"??_);_(@_)</c:formatCode>
                <c:ptCount val="32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</c:numCache>
            </c:numRef>
          </c:cat>
          <c:val>
            <c:numRef>
              <c:f>cashflow!$C$19:$AH$19</c:f>
              <c:numCache>
                <c:formatCode>_(* #,##0_);_(* \(#,##0\);_(* "-"??_);_(@_)</c:formatCode>
                <c:ptCount val="32"/>
                <c:pt idx="0">
                  <c:v>0</c:v>
                </c:pt>
                <c:pt idx="1">
                  <c:v>-326448</c:v>
                </c:pt>
                <c:pt idx="2">
                  <c:v>-911609</c:v>
                </c:pt>
                <c:pt idx="3">
                  <c:v>-1013344.48</c:v>
                </c:pt>
                <c:pt idx="4">
                  <c:v>-1079026.7599999998</c:v>
                </c:pt>
                <c:pt idx="5">
                  <c:v>-1104344.0349999997</c:v>
                </c:pt>
                <c:pt idx="6">
                  <c:v>-1093382.7826874997</c:v>
                </c:pt>
                <c:pt idx="7">
                  <c:v>-1048880.0259218747</c:v>
                </c:pt>
                <c:pt idx="8">
                  <c:v>-966953.59773421846</c:v>
                </c:pt>
                <c:pt idx="9">
                  <c:v>-843312.68453255435</c:v>
                </c:pt>
                <c:pt idx="10">
                  <c:v>-673216.64698071964</c:v>
                </c:pt>
                <c:pt idx="11">
                  <c:v>-451429.80804219679</c:v>
                </c:pt>
                <c:pt idx="12">
                  <c:v>-257877.31107174198</c:v>
                </c:pt>
                <c:pt idx="13">
                  <c:v>127302.14058898704</c:v>
                </c:pt>
                <c:pt idx="14">
                  <c:v>591449.2027217719</c:v>
                </c:pt>
                <c:pt idx="15">
                  <c:v>1461888.3740891172</c:v>
                </c:pt>
                <c:pt idx="16">
                  <c:v>2436508.4959405432</c:v>
                </c:pt>
                <c:pt idx="17">
                  <c:v>3526679.2224918255</c:v>
                </c:pt>
                <c:pt idx="18">
                  <c:v>4744954.7513386849</c:v>
                </c:pt>
                <c:pt idx="19">
                  <c:v>6105194.6566927014</c:v>
                </c:pt>
                <c:pt idx="20">
                  <c:v>7622696.9248857144</c:v>
                </c:pt>
                <c:pt idx="21">
                  <c:v>9314344.4183168039</c:v>
                </c:pt>
                <c:pt idx="22">
                  <c:v>11113060.616930716</c:v>
                </c:pt>
                <c:pt idx="23">
                  <c:v>13210809.121537719</c:v>
                </c:pt>
                <c:pt idx="24">
                  <c:v>15544556.052043706</c:v>
                </c:pt>
                <c:pt idx="25">
                  <c:v>18139307.137310494</c:v>
                </c:pt>
                <c:pt idx="26">
                  <c:v>21022638.973399665</c:v>
                </c:pt>
                <c:pt idx="27">
                  <c:v>24224959.625008248</c:v>
                </c:pt>
                <c:pt idx="28">
                  <c:v>27779795.462783709</c:v>
                </c:pt>
                <c:pt idx="29">
                  <c:v>31724106.868893035</c:v>
                </c:pt>
                <c:pt idx="30">
                  <c:v>36098635.70689743</c:v>
                </c:pt>
                <c:pt idx="31">
                  <c:v>40948287.742050603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6-4FB2-90D5-340212872A5A}"/>
            </c:ext>
          </c:extLst>
        </c:ser>
        <c:ser>
          <c:idx val="1"/>
          <c:order val="1"/>
          <c:tx>
            <c:strRef>
              <c:f>cashflow!$B$20</c:f>
              <c:strCache>
                <c:ptCount val="1"/>
                <c:pt idx="0">
                  <c:v>Ending Cash balance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cashflow!$C$4:$AH$4</c:f>
              <c:numCache>
                <c:formatCode>_(* #,##0_);_(* \(#,##0\);_(* "-"??_);_(@_)</c:formatCode>
                <c:ptCount val="32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</c:numCache>
            </c:numRef>
          </c:cat>
          <c:val>
            <c:numRef>
              <c:f>cashflow!$C$20:$AH$20</c:f>
              <c:numCache>
                <c:formatCode>_(* #,##0_);_(* \(#,##0\);_(* "-"??_);_(@_)</c:formatCode>
                <c:ptCount val="32"/>
                <c:pt idx="0">
                  <c:v>-326448</c:v>
                </c:pt>
                <c:pt idx="1">
                  <c:v>-911609</c:v>
                </c:pt>
                <c:pt idx="2">
                  <c:v>-1013344.48</c:v>
                </c:pt>
                <c:pt idx="3">
                  <c:v>-1079026.7599999998</c:v>
                </c:pt>
                <c:pt idx="4">
                  <c:v>-1104344.0349999997</c:v>
                </c:pt>
                <c:pt idx="5">
                  <c:v>-1093382.7826874997</c:v>
                </c:pt>
                <c:pt idx="6">
                  <c:v>-1048880.0259218747</c:v>
                </c:pt>
                <c:pt idx="7">
                  <c:v>-966953.59773421846</c:v>
                </c:pt>
                <c:pt idx="8">
                  <c:v>-843312.68453255435</c:v>
                </c:pt>
                <c:pt idx="9">
                  <c:v>-673216.64698071964</c:v>
                </c:pt>
                <c:pt idx="10">
                  <c:v>-451429.80804219679</c:v>
                </c:pt>
                <c:pt idx="11">
                  <c:v>-257877.31107174198</c:v>
                </c:pt>
                <c:pt idx="12">
                  <c:v>127302.14058898704</c:v>
                </c:pt>
                <c:pt idx="13">
                  <c:v>591449.2027217719</c:v>
                </c:pt>
                <c:pt idx="14">
                  <c:v>1461888.3740891172</c:v>
                </c:pt>
                <c:pt idx="15">
                  <c:v>2436508.4959405432</c:v>
                </c:pt>
                <c:pt idx="16">
                  <c:v>3526679.2224918255</c:v>
                </c:pt>
                <c:pt idx="17">
                  <c:v>4744954.7513386849</c:v>
                </c:pt>
                <c:pt idx="18">
                  <c:v>6105194.6566927014</c:v>
                </c:pt>
                <c:pt idx="19">
                  <c:v>7622696.9248857144</c:v>
                </c:pt>
                <c:pt idx="20">
                  <c:v>9314344.4183168039</c:v>
                </c:pt>
                <c:pt idx="21">
                  <c:v>11113060.616930716</c:v>
                </c:pt>
                <c:pt idx="22">
                  <c:v>13210809.121537719</c:v>
                </c:pt>
                <c:pt idx="23">
                  <c:v>15544556.052043706</c:v>
                </c:pt>
                <c:pt idx="24">
                  <c:v>18139307.137310494</c:v>
                </c:pt>
                <c:pt idx="25">
                  <c:v>21022638.973399665</c:v>
                </c:pt>
                <c:pt idx="26">
                  <c:v>24224959.625008248</c:v>
                </c:pt>
                <c:pt idx="27">
                  <c:v>27779795.462783709</c:v>
                </c:pt>
                <c:pt idx="28">
                  <c:v>31724106.868893035</c:v>
                </c:pt>
                <c:pt idx="29">
                  <c:v>36098635.70689743</c:v>
                </c:pt>
                <c:pt idx="30">
                  <c:v>40948287.742050603</c:v>
                </c:pt>
                <c:pt idx="31">
                  <c:v>46236848.017234854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CB6-4FB2-90D5-340212872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67280"/>
        <c:axId val="689761872"/>
      </c:lineChart>
      <c:catAx>
        <c:axId val="68976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761872"/>
        <c:crosses val="autoZero"/>
        <c:auto val="1"/>
        <c:lblAlgn val="ctr"/>
        <c:lblOffset val="100"/>
        <c:noMultiLvlLbl val="0"/>
      </c:catAx>
      <c:valAx>
        <c:axId val="68976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76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C08-48E4-829C-CC053A6F69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DC08-48E4-829C-CC053A6F699B}"/>
              </c:ext>
            </c:extLst>
          </c:dPt>
          <c:dLbls>
            <c:dLbl>
              <c:idx val="0"/>
              <c:layout>
                <c:manualLayout>
                  <c:x val="-0.1174836838474423"/>
                  <c:y val="-0.37198024490812281"/>
                </c:manualLayout>
              </c:layout>
              <c:tx>
                <c:rich>
                  <a:bodyPr/>
                  <a:lstStyle/>
                  <a:p>
                    <a:fld id="{04B7C3C7-4FA7-47CF-8FEB-7D35CA14C9CE}" type="CATEGORYNAME">
                      <a:rPr lang="en-US" sz="1600"/>
                      <a:pPr/>
                      <a:t>[CATEGORY NAME]</a:t>
                    </a:fld>
                    <a:r>
                      <a:rPr lang="en-US" sz="1600" baseline="0"/>
                      <a:t>, </a:t>
                    </a:r>
                    <a:fld id="{067E0377-1BFA-47B5-BDF6-86AF6FBA9AA6}" type="VALUE">
                      <a:rPr lang="en-US" sz="1600" baseline="0"/>
                      <a:pPr/>
                      <a:t>[VALUE]</a:t>
                    </a:fld>
                    <a:endParaRPr lang="en-US" sz="1600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C08-48E4-829C-CC053A6F699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D859157-7937-4DB0-BDCF-F94774CB21DE}" type="CATEGORYNAME">
                      <a:rPr lang="en-US" sz="1600"/>
                      <a:pPr/>
                      <a:t>[CATEGORY NAME]</a:t>
                    </a:fld>
                    <a:r>
                      <a:rPr lang="en-US" sz="1600" baseline="0"/>
                      <a:t>, </a:t>
                    </a:r>
                    <a:fld id="{7B685552-E134-443D-A8BE-89604E7DD198}" type="VALUE">
                      <a:rPr lang="en-US" sz="1600" baseline="0"/>
                      <a:pPr/>
                      <a:t>[VALUE]</a:t>
                    </a:fld>
                    <a:endParaRPr lang="en-US" sz="1600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C08-48E4-829C-CC053A6F699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'aspek market'!$H$41:$H$42</c:f>
              <c:strCache>
                <c:ptCount val="2"/>
                <c:pt idx="0">
                  <c:v>20 Feet</c:v>
                </c:pt>
                <c:pt idx="1">
                  <c:v>40 Feet</c:v>
                </c:pt>
              </c:strCache>
            </c:strRef>
          </c:cat>
          <c:val>
            <c:numRef>
              <c:f>'aspek market'!$I$41:$I$42</c:f>
              <c:numCache>
                <c:formatCode>0.00%</c:formatCode>
                <c:ptCount val="2"/>
                <c:pt idx="0">
                  <c:v>0.78910000000000002</c:v>
                </c:pt>
                <c:pt idx="1">
                  <c:v>0.2109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8-48E4-829C-CC053A6F699B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C08-48E4-829C-CC053A6F69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DC08-48E4-829C-CC053A6F699B}"/>
              </c:ext>
            </c:extLst>
          </c:dPt>
          <c:dLbls>
            <c:dLbl>
              <c:idx val="0"/>
              <c:layout>
                <c:manualLayout>
                  <c:x val="-0.21986624056930124"/>
                  <c:y val="-8.6173811606882478E-2"/>
                </c:manualLayout>
              </c:layout>
              <c:tx>
                <c:rich>
                  <a:bodyPr/>
                  <a:lstStyle/>
                  <a:p>
                    <a:fld id="{E02C251E-7416-48FF-B861-A6F4573AA86F}" type="CATEGORYNAME">
                      <a:rPr lang="en-US" sz="1600"/>
                      <a:pPr/>
                      <a:t>[CATEGORY NAME]</a:t>
                    </a:fld>
                    <a:r>
                      <a:rPr lang="en-US" sz="1600" baseline="0"/>
                      <a:t>, </a:t>
                    </a:r>
                    <a:fld id="{640AA42B-9977-4436-97DB-826C4C9E945B}" type="VALUE">
                      <a:rPr lang="en-US" sz="1600" baseline="0"/>
                      <a:pPr/>
                      <a:t>[VALUE]</a:t>
                    </a:fld>
                    <a:endParaRPr lang="en-US" sz="1600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C08-48E4-829C-CC053A6F699B}"/>
                </c:ext>
              </c:extLst>
            </c:dLbl>
            <c:dLbl>
              <c:idx val="1"/>
              <c:layout>
                <c:manualLayout>
                  <c:x val="0.20114372641836259"/>
                  <c:y val="5.2883623500776196E-2"/>
                </c:manualLayout>
              </c:layout>
              <c:tx>
                <c:rich>
                  <a:bodyPr/>
                  <a:lstStyle/>
                  <a:p>
                    <a:fld id="{4E3EA9D6-A252-45D9-830A-FB9498313AC6}" type="CATEGORYNAME">
                      <a:rPr lang="en-US" sz="1600"/>
                      <a:pPr/>
                      <a:t>[CATEGORY NAME]</a:t>
                    </a:fld>
                    <a:r>
                      <a:rPr lang="en-US" sz="1600" baseline="0"/>
                      <a:t>, </a:t>
                    </a:r>
                    <a:fld id="{CA9E962B-61AD-4E76-894E-FB6672803588}" type="VALUE">
                      <a:rPr lang="en-US" sz="1600" baseline="0"/>
                      <a:pPr/>
                      <a:t>[VALUE]</a:t>
                    </a:fld>
                    <a:endParaRPr lang="en-US" sz="1600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C08-48E4-829C-CC053A6F699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'aspek market'!$H$38:$H$39</c:f>
              <c:strCache>
                <c:ptCount val="2"/>
                <c:pt idx="0">
                  <c:v>Bongkar</c:v>
                </c:pt>
                <c:pt idx="1">
                  <c:v>Muat</c:v>
                </c:pt>
              </c:strCache>
            </c:strRef>
          </c:cat>
          <c:val>
            <c:numRef>
              <c:f>'aspek market'!$I$38:$I$39</c:f>
              <c:numCache>
                <c:formatCode>0.00%</c:formatCode>
                <c:ptCount val="2"/>
                <c:pt idx="0">
                  <c:v>0.55910000000000004</c:v>
                </c:pt>
                <c:pt idx="1">
                  <c:v>0.44090000000000001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8-48E4-829C-CC053A6F699B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'aspek market'!$O$20</c:f>
              <c:strCache>
                <c:ptCount val="1"/>
                <c:pt idx="0">
                  <c:v>Arus Petikemas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'aspek market'!$L$21:$L$25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'aspek market'!$O$21:$O$25</c:f>
              <c:numCache>
                <c:formatCode>_(* ###\ ###\ ###\ ##0.00_);_(* \(###\ ###\ ###\ ##0.00\);_(* "-"??_);_(@_)</c:formatCode>
                <c:ptCount val="5"/>
                <c:pt idx="0">
                  <c:v>4404.2150000000001</c:v>
                </c:pt>
                <c:pt idx="1">
                  <c:v>4731.4481745000003</c:v>
                </c:pt>
                <c:pt idx="2">
                  <c:v>5082.99477386535</c:v>
                </c:pt>
                <c:pt idx="3">
                  <c:v>5460.6612855635458</c:v>
                </c:pt>
                <c:pt idx="4">
                  <c:v>5866.3884190809167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3-4F18-B96E-E636B82AF849}"/>
            </c:ext>
          </c:extLst>
        </c:ser>
        <c:ser>
          <c:idx val="1"/>
          <c:order val="1"/>
          <c:tx>
            <c:strRef>
              <c:f>'aspek market'!$P$20</c:f>
              <c:strCache>
                <c:ptCount val="1"/>
                <c:pt idx="0">
                  <c:v>Kapasitas Terpasang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'aspek market'!$L$21:$L$25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'aspek market'!$P$21:$P$25</c:f>
              <c:numCache>
                <c:formatCode>_(* ###\ ###\ ###\ ##0.00_);_(* \(###\ ###\ ###\ ##0.00\);_(* "-"??_);_(@_)</c:formatCode>
                <c:ptCount val="5"/>
                <c:pt idx="0">
                  <c:v>5894.96</c:v>
                </c:pt>
                <c:pt idx="1">
                  <c:v>5894.96</c:v>
                </c:pt>
                <c:pt idx="2">
                  <c:v>7403.84</c:v>
                </c:pt>
                <c:pt idx="3">
                  <c:v>7403.84</c:v>
                </c:pt>
                <c:pt idx="4">
                  <c:v>7403.84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3-4F18-B96E-E636B82A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133131712"/>
        <c:axId val="2133129216"/>
      </c:barChart>
      <c:catAx>
        <c:axId val="213313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3129216"/>
        <c:crossesAt val="0"/>
        <c:auto val="1"/>
        <c:lblAlgn val="ctr"/>
        <c:lblOffset val="100"/>
        <c:noMultiLvlLbl val="0"/>
      </c:catAx>
      <c:valAx>
        <c:axId val="2133129216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##\ ###\ ###\ ##0.00_);_(* \(###\ ###\ ###\ 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313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'aspek market'!$N$112:$N$118</c:f>
              <c:strCache>
                <c:ptCount val="7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Thrusday</c:v>
                </c:pt>
                <c:pt idx="4">
                  <c:v>Friday</c:v>
                </c:pt>
                <c:pt idx="5">
                  <c:v>Saturday</c:v>
                </c:pt>
                <c:pt idx="6">
                  <c:v>Sunday</c:v>
                </c:pt>
              </c:strCache>
            </c:strRef>
          </c:cat>
          <c:val>
            <c:numRef>
              <c:f>'aspek market'!$O$112:$O$118</c:f>
              <c:numCache>
                <c:formatCode>0.00%</c:formatCode>
                <c:ptCount val="7"/>
                <c:pt idx="0">
                  <c:v>0.1154</c:v>
                </c:pt>
                <c:pt idx="1">
                  <c:v>0.1444</c:v>
                </c:pt>
                <c:pt idx="2">
                  <c:v>0.20480000000000001</c:v>
                </c:pt>
                <c:pt idx="3">
                  <c:v>0.18690000000000001</c:v>
                </c:pt>
                <c:pt idx="4">
                  <c:v>0.14349999999999999</c:v>
                </c:pt>
                <c:pt idx="5">
                  <c:v>0.1152</c:v>
                </c:pt>
                <c:pt idx="6">
                  <c:v>8.9800000000000005E-2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6-4382-9EF2-CEEFA9CAD3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47562639"/>
        <c:axId val="747565967"/>
      </c:barChart>
      <c:catAx>
        <c:axId val="747562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7565967"/>
        <c:crosses val="autoZero"/>
        <c:auto val="1"/>
        <c:lblAlgn val="ctr"/>
        <c:lblOffset val="100"/>
        <c:noMultiLvlLbl val="0"/>
      </c:catAx>
      <c:valAx>
        <c:axId val="747565967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7562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8855-4728-B45C-74BFBC74940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855-4728-B45C-74BFBC74940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8855-4728-B45C-74BFBC74940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855-4728-B45C-74BFBC74940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855-4728-B45C-74BFBC749404}"/>
              </c:ext>
            </c:extLst>
          </c:dPt>
          <c:dLbls>
            <c:dLbl>
              <c:idx val="0"/>
              <c:layout>
                <c:manualLayout>
                  <c:x val="-0.26634901766262487"/>
                  <c:y val="-0.1620370370370370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5-4728-B45C-74BFBC749404}"/>
                </c:ext>
              </c:extLst>
            </c:dLbl>
            <c:dLbl>
              <c:idx val="1"/>
              <c:layout>
                <c:manualLayout>
                  <c:x val="5.4829962000118001E-3"/>
                  <c:y val="-1.8518518518518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5-4728-B45C-74BFBC749404}"/>
                </c:ext>
              </c:extLst>
            </c:dLbl>
            <c:dLbl>
              <c:idx val="2"/>
              <c:layout>
                <c:manualLayout>
                  <c:x val="0"/>
                  <c:y val="-8.79629629629629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5-4728-B45C-74BFBC749404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5-4728-B45C-74BFBC749404}"/>
                </c:ext>
              </c:extLst>
            </c:dLbl>
            <c:dLbl>
              <c:idx val="4"/>
              <c:layout>
                <c:manualLayout>
                  <c:x val="1.4566038725354159E-2"/>
                  <c:y val="1.5686789151356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5-4728-B45C-74BFBC749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'aspek market'!$N$125:$N$129</c:f>
              <c:strCache>
                <c:ptCount val="5"/>
                <c:pt idx="0">
                  <c:v>reduce traffic </c:v>
                </c:pt>
                <c:pt idx="1">
                  <c:v>time efficiency </c:v>
                </c:pt>
                <c:pt idx="2">
                  <c:v>cost efficiency</c:v>
                </c:pt>
                <c:pt idx="3">
                  <c:v>accelerate container flow </c:v>
                </c:pt>
                <c:pt idx="4">
                  <c:v>others</c:v>
                </c:pt>
              </c:strCache>
            </c:strRef>
          </c:cat>
          <c:val>
            <c:numRef>
              <c:f>'aspek market'!$O$125:$O$129</c:f>
              <c:numCache>
                <c:formatCode>0.00%</c:formatCode>
                <c:ptCount val="5"/>
                <c:pt idx="0">
                  <c:v>0.5625</c:v>
                </c:pt>
                <c:pt idx="1">
                  <c:v>0.1094</c:v>
                </c:pt>
                <c:pt idx="2">
                  <c:v>0.1094</c:v>
                </c:pt>
                <c:pt idx="3">
                  <c:v>6.25E-2</c:v>
                </c:pt>
                <c:pt idx="4">
                  <c:v>0.15620000000000001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5-4728-B45C-74BFBC74940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4-47F7-8CD5-34E1AB8C7B3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54-47F7-8CD5-34E1AB8C7B3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25EE0BB-E824-44F7-AF11-23E427C08680}" type="CATEGORYNAME">
                      <a:rPr lang="en-US" sz="1600" b="1"/>
                      <a:pPr/>
                      <a:t>[CATEGORY NAME]</a:t>
                    </a:fld>
                    <a:r>
                      <a:rPr lang="en-US" sz="1600" b="1" baseline="0"/>
                      <a:t>
</a:t>
                    </a:r>
                    <a:fld id="{F151EA48-ACF0-4985-8553-0D4BDC05DDF8}" type="PERCENTAGE">
                      <a:rPr lang="en-US" sz="1600" b="1" baseline="0"/>
                      <a:pPr/>
                      <a:t>[PERCENTAGE]</a:t>
                    </a:fld>
                    <a:endParaRPr lang="en-US" sz="1600" b="1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954-47F7-8CD5-34E1AB8C7B35}"/>
                </c:ext>
              </c:extLst>
            </c:dLbl>
            <c:dLbl>
              <c:idx val="1"/>
              <c:layout>
                <c:manualLayout>
                  <c:x val="0.17628237095363081"/>
                  <c:y val="-0.24516841644794402"/>
                </c:manualLayout>
              </c:layout>
              <c:tx>
                <c:rich>
                  <a:bodyPr/>
                  <a:lstStyle/>
                  <a:p>
                    <a:fld id="{8218920D-B813-40F4-98AE-AC1D56CF5753}" type="CATEGORYNAME">
                      <a:rPr lang="en-US" sz="1600" b="1"/>
                      <a:pPr/>
                      <a:t>[CATEGORY NAME]</a:t>
                    </a:fld>
                    <a:r>
                      <a:rPr lang="en-US" sz="1600" b="1" baseline="0"/>
                      <a:t>
</a:t>
                    </a:r>
                    <a:fld id="{C19F5495-D452-48BB-8465-392540FACCDF}" type="PERCENTAGE">
                      <a:rPr lang="en-US" sz="1600" b="1" baseline="0"/>
                      <a:pPr/>
                      <a:t>[PERCENTAGE]</a:t>
                    </a:fld>
                    <a:endParaRPr lang="en-US" sz="1600" b="1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954-47F7-8CD5-34E1AB8C7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'biaya investasi'!$C$17:$C$18</c:f>
              <c:strCache>
                <c:ptCount val="2"/>
                <c:pt idx="0">
                  <c:v>Modal</c:v>
                </c:pt>
                <c:pt idx="1">
                  <c:v>Pinjaman</c:v>
                </c:pt>
              </c:strCache>
            </c:strRef>
          </c:cat>
          <c:val>
            <c:numRef>
              <c:f>'biaya investasi'!$E$17:$E$18</c:f>
              <c:numCache>
                <c:formatCode>_(* #,##0.00_);_(* \(#,##0.00\);_(* "-"??_);_(@_)</c:formatCode>
                <c:ptCount val="2"/>
                <c:pt idx="0">
                  <c:v>911608673402.32788</c:v>
                </c:pt>
                <c:pt idx="1">
                  <c:v>2127086904605.4316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4-47F7-8CD5-34E1AB8C7B35}"/>
            </c:ext>
          </c:extLst>
        </c:ser>
        <c:ser>
          <c:idx val="1"/>
          <c:order val="1"/>
          <c:tx>
            <c:v>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50-411B-B5B3-343CD989D24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50-411B-B5B3-343CD989D2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'biaya investasi'!$D$17:$D$18</c:f>
              <c:numCache>
                <c:formatCode>0%</c:formatCode>
                <c:ptCount val="2"/>
                <c:pt idx="0">
                  <c:v>0.3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4-47F7-8CD5-34E1AB8C7B3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'energi, SDM, maintanance'!$C$6</c:f>
              <c:strCache>
                <c:ptCount val="1"/>
                <c:pt idx="0">
                  <c:v>energi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numRef>
              <c:f>'energi, SDM, maintanance'!$D$5:$AG$5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'energi, SDM, maintanance'!$D$6:$AG$6</c:f>
              <c:numCache>
                <c:formatCode>_(* #,##0_);_(* \(#,##0\);_(* "-"??_);_(@_)</c:formatCode>
                <c:ptCount val="30"/>
                <c:pt idx="0">
                  <c:v>211352</c:v>
                </c:pt>
                <c:pt idx="1">
                  <c:v>221919.6</c:v>
                </c:pt>
                <c:pt idx="2">
                  <c:v>233015.58000000002</c:v>
                </c:pt>
                <c:pt idx="3">
                  <c:v>244666.35900000003</c:v>
                </c:pt>
                <c:pt idx="4">
                  <c:v>256899.67695000002</c:v>
                </c:pt>
                <c:pt idx="5">
                  <c:v>269744.66079750005</c:v>
                </c:pt>
                <c:pt idx="6">
                  <c:v>283231.89383737504</c:v>
                </c:pt>
                <c:pt idx="7">
                  <c:v>297393.4885292438</c:v>
                </c:pt>
                <c:pt idx="8">
                  <c:v>312263.16295570601</c:v>
                </c:pt>
                <c:pt idx="9">
                  <c:v>327876.3211034913</c:v>
                </c:pt>
                <c:pt idx="10">
                  <c:v>344270.13715866586</c:v>
                </c:pt>
                <c:pt idx="11">
                  <c:v>361483.64401659917</c:v>
                </c:pt>
                <c:pt idx="12">
                  <c:v>379557.82621742913</c:v>
                </c:pt>
                <c:pt idx="13">
                  <c:v>398535.71752830059</c:v>
                </c:pt>
                <c:pt idx="14">
                  <c:v>418462.50340471562</c:v>
                </c:pt>
                <c:pt idx="15">
                  <c:v>439385.62857495144</c:v>
                </c:pt>
                <c:pt idx="16">
                  <c:v>461354.91000369901</c:v>
                </c:pt>
                <c:pt idx="17">
                  <c:v>484422.65550388396</c:v>
                </c:pt>
                <c:pt idx="18">
                  <c:v>508643.78827907814</c:v>
                </c:pt>
                <c:pt idx="19">
                  <c:v>534075.97769303201</c:v>
                </c:pt>
                <c:pt idx="20">
                  <c:v>560779.77657768363</c:v>
                </c:pt>
                <c:pt idx="21">
                  <c:v>588818.76540656784</c:v>
                </c:pt>
                <c:pt idx="22">
                  <c:v>618259.70367689617</c:v>
                </c:pt>
                <c:pt idx="23">
                  <c:v>649172.68886074098</c:v>
                </c:pt>
                <c:pt idx="24">
                  <c:v>681631.32330377807</c:v>
                </c:pt>
                <c:pt idx="25">
                  <c:v>715712.88946896698</c:v>
                </c:pt>
                <c:pt idx="26">
                  <c:v>751498.53394241538</c:v>
                </c:pt>
                <c:pt idx="27">
                  <c:v>789073.46063953615</c:v>
                </c:pt>
                <c:pt idx="28">
                  <c:v>828527.13367151294</c:v>
                </c:pt>
                <c:pt idx="29">
                  <c:v>869953.49035508861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F-4D04-BBC0-D019F2052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643207504"/>
        <c:axId val="643199184"/>
      </c:barChart>
      <c:catAx>
        <c:axId val="64320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199184"/>
        <c:crosses val="autoZero"/>
        <c:auto val="1"/>
        <c:lblAlgn val="ctr"/>
        <c:lblOffset val="100"/>
        <c:noMultiLvlLbl val="0"/>
      </c:catAx>
      <c:valAx>
        <c:axId val="64319918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2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'energi, SDM, maintanance'!$C$7</c:f>
              <c:strCache>
                <c:ptCount val="1"/>
                <c:pt idx="0">
                  <c:v>SDM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delete val="1"/>
          </c:dLbls>
          <c:cat>
            <c:numRef>
              <c:f>'energi, SDM, maintanance'!$D$5:$AG$5</c:f>
              <c:numCache>
                <c:formatCode>General</c:formatCode>
                <c:ptCount val="3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</c:numCache>
            </c:numRef>
          </c:cat>
          <c:val>
            <c:numRef>
              <c:f>'energi, SDM, maintanance'!$D$7:$AG$7</c:f>
              <c:numCache>
                <c:formatCode>_(* #,##0_);_(* \(#,##0\);_(* "-"??_);_(@_)</c:formatCode>
                <c:ptCount val="30"/>
                <c:pt idx="0">
                  <c:v>14105</c:v>
                </c:pt>
                <c:pt idx="1">
                  <c:v>14810.25</c:v>
                </c:pt>
                <c:pt idx="2">
                  <c:v>15550.762500000001</c:v>
                </c:pt>
                <c:pt idx="3">
                  <c:v>16328.300625</c:v>
                </c:pt>
                <c:pt idx="4">
                  <c:v>17144.715656249999</c:v>
                </c:pt>
                <c:pt idx="5">
                  <c:v>18001.951439062497</c:v>
                </c:pt>
                <c:pt idx="6">
                  <c:v>18902.049011015621</c:v>
                </c:pt>
                <c:pt idx="7">
                  <c:v>19847.151461566402</c:v>
                </c:pt>
                <c:pt idx="8">
                  <c:v>20839.509034644721</c:v>
                </c:pt>
                <c:pt idx="9">
                  <c:v>21881.484486376958</c:v>
                </c:pt>
                <c:pt idx="10">
                  <c:v>22975.558710695805</c:v>
                </c:pt>
                <c:pt idx="11">
                  <c:v>24124.336646230593</c:v>
                </c:pt>
                <c:pt idx="12">
                  <c:v>25330.553478542122</c:v>
                </c:pt>
                <c:pt idx="13">
                  <c:v>26597.081152469229</c:v>
                </c:pt>
                <c:pt idx="14">
                  <c:v>27926.935210092692</c:v>
                </c:pt>
                <c:pt idx="15">
                  <c:v>29323.281970597327</c:v>
                </c:pt>
                <c:pt idx="16">
                  <c:v>30789.446069127192</c:v>
                </c:pt>
                <c:pt idx="17">
                  <c:v>32328.918372583554</c:v>
                </c:pt>
                <c:pt idx="18">
                  <c:v>33945.364291212732</c:v>
                </c:pt>
                <c:pt idx="19">
                  <c:v>35642.63250577337</c:v>
                </c:pt>
                <c:pt idx="20">
                  <c:v>37424.764131062038</c:v>
                </c:pt>
                <c:pt idx="21">
                  <c:v>39296.002337615137</c:v>
                </c:pt>
                <c:pt idx="22">
                  <c:v>41260.80245449589</c:v>
                </c:pt>
                <c:pt idx="23">
                  <c:v>43323.842577220683</c:v>
                </c:pt>
                <c:pt idx="24">
                  <c:v>45490.034706081715</c:v>
                </c:pt>
                <c:pt idx="25">
                  <c:v>47764.536441385804</c:v>
                </c:pt>
                <c:pt idx="26">
                  <c:v>50152.763263455097</c:v>
                </c:pt>
                <c:pt idx="27">
                  <c:v>52660.401426627854</c:v>
                </c:pt>
                <c:pt idx="28">
                  <c:v>55293.421497959243</c:v>
                </c:pt>
                <c:pt idx="29">
                  <c:v>58058.092572857204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1-4097-9C79-57620D37C1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960360960"/>
        <c:axId val="960349312"/>
      </c:barChart>
      <c:catAx>
        <c:axId val="96036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349312"/>
        <c:crosses val="autoZero"/>
        <c:auto val="1"/>
        <c:lblAlgn val="ctr"/>
        <c:lblOffset val="100"/>
        <c:noMultiLvlLbl val="0"/>
      </c:catAx>
      <c:valAx>
        <c:axId val="96034931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36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chart" Target="../charts/chart5.xml"/><Relationship Id="rId3" Type="http://schemas.openxmlformats.org/officeDocument/2006/relationships/image" Target="../media/image5.png"/><Relationship Id="rId7" Type="http://schemas.openxmlformats.org/officeDocument/2006/relationships/chart" Target="../charts/chart3.xml"/><Relationship Id="rId12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chart" Target="../charts/chart2.xml"/><Relationship Id="rId11" Type="http://schemas.openxmlformats.org/officeDocument/2006/relationships/image" Target="../media/image9.png"/><Relationship Id="rId5" Type="http://schemas.openxmlformats.org/officeDocument/2006/relationships/chart" Target="../charts/chart1.xml"/><Relationship Id="rId10" Type="http://schemas.openxmlformats.org/officeDocument/2006/relationships/chart" Target="../charts/chart4.xml"/><Relationship Id="rId4" Type="http://schemas.openxmlformats.org/officeDocument/2006/relationships/image" Target="../media/image6.png"/><Relationship Id="rId9" Type="http://schemas.openxmlformats.org/officeDocument/2006/relationships/image" Target="../media/image8.png"/><Relationship Id="rId1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openxmlformats.org/officeDocument/2006/relationships/chart" Target="../charts/chart10.xml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image" Target="../media/image19.png"/><Relationship Id="rId7" Type="http://schemas.openxmlformats.org/officeDocument/2006/relationships/image" Target="../media/image22.png"/><Relationship Id="rId2" Type="http://schemas.openxmlformats.org/officeDocument/2006/relationships/image" Target="../media/image18.png"/><Relationship Id="rId1" Type="http://schemas.openxmlformats.org/officeDocument/2006/relationships/image" Target="../media/image13.png"/><Relationship Id="rId6" Type="http://schemas.openxmlformats.org/officeDocument/2006/relationships/image" Target="../media/image21.png"/><Relationship Id="rId5" Type="http://schemas.openxmlformats.org/officeDocument/2006/relationships/chart" Target="../charts/chart11.xml"/><Relationship Id="rId4" Type="http://schemas.openxmlformats.org/officeDocument/2006/relationships/image" Target="../media/image20.png"/><Relationship Id="rId9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13</xdr:row>
      <xdr:rowOff>19050</xdr:rowOff>
    </xdr:from>
    <xdr:to>
      <xdr:col>5</xdr:col>
      <xdr:colOff>519545</xdr:colOff>
      <xdr:row>28</xdr:row>
      <xdr:rowOff>155864</xdr:rowOff>
    </xdr:to>
    <xdr:pic>
      <xdr:nvPicPr>
        <xdr:cNvPr id="2" name="Picture 1" descr="C:\Users\ASUS\AppData\Local\Microsoft\Windows\INetCache\Content.MSO\94F1A987.t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911" y="2703368"/>
          <a:ext cx="3964998" cy="2994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246785</xdr:colOff>
      <xdr:row>13</xdr:row>
      <xdr:rowOff>36370</xdr:rowOff>
    </xdr:from>
    <xdr:to>
      <xdr:col>14</xdr:col>
      <xdr:colOff>294409</xdr:colOff>
      <xdr:row>27</xdr:row>
      <xdr:rowOff>34638</xdr:rowOff>
    </xdr:to>
    <xdr:pic>
      <xdr:nvPicPr>
        <xdr:cNvPr id="3" name="Picture 2" descr="C:\Users\ASUS\AppData\Local\Microsoft\Windows\INetCache\Content.MSO\BBD0D90B.tmp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1012" y="2720688"/>
          <a:ext cx="5295033" cy="26652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</xdr:colOff>
      <xdr:row>0</xdr:row>
      <xdr:rowOff>68864</xdr:rowOff>
    </xdr:from>
    <xdr:to>
      <xdr:col>3</xdr:col>
      <xdr:colOff>2739765</xdr:colOff>
      <xdr:row>8</xdr:row>
      <xdr:rowOff>2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6256"/>
        <a:stretch/>
      </xdr:blipFill>
      <xdr:spPr>
        <a:xfrm>
          <a:off x="208597" y="68864"/>
          <a:ext cx="4341554" cy="1455138"/>
        </a:xfrm>
        <a:prstGeom prst="rect">
          <a:avLst/>
        </a:prstGeom>
      </xdr:spPr>
    </xdr:pic>
    <xdr:clientData/>
  </xdr:twoCellAnchor>
  <xdr:twoCellAnchor editAs="oneCell">
    <xdr:from>
      <xdr:col>0</xdr:col>
      <xdr:colOff>111872</xdr:colOff>
      <xdr:row>15</xdr:row>
      <xdr:rowOff>117897</xdr:rowOff>
    </xdr:from>
    <xdr:to>
      <xdr:col>5</xdr:col>
      <xdr:colOff>251855</xdr:colOff>
      <xdr:row>22</xdr:row>
      <xdr:rowOff>52621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5184"/>
        <a:stretch/>
      </xdr:blipFill>
      <xdr:spPr>
        <a:xfrm>
          <a:off x="111872" y="2975397"/>
          <a:ext cx="5991009" cy="1091046"/>
        </a:xfrm>
        <a:prstGeom prst="rect">
          <a:avLst/>
        </a:prstGeom>
      </xdr:spPr>
    </xdr:pic>
    <xdr:clientData/>
  </xdr:twoCellAnchor>
  <xdr:twoCellAnchor editAs="oneCell">
    <xdr:from>
      <xdr:col>0</xdr:col>
      <xdr:colOff>175926</xdr:colOff>
      <xdr:row>8</xdr:row>
      <xdr:rowOff>130865</xdr:rowOff>
    </xdr:from>
    <xdr:to>
      <xdr:col>5</xdr:col>
      <xdr:colOff>686838</xdr:colOff>
      <xdr:row>15</xdr:row>
      <xdr:rowOff>73765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926" y="1654865"/>
          <a:ext cx="6357159" cy="1276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117896</xdr:colOff>
      <xdr:row>20</xdr:row>
      <xdr:rowOff>178758</xdr:rowOff>
    </xdr:from>
    <xdr:to>
      <xdr:col>6</xdr:col>
      <xdr:colOff>412450</xdr:colOff>
      <xdr:row>30</xdr:row>
      <xdr:rowOff>58615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4032"/>
        <a:stretch/>
      </xdr:blipFill>
      <xdr:spPr>
        <a:xfrm>
          <a:off x="117896" y="4105989"/>
          <a:ext cx="6956001" cy="1784857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34</xdr:row>
      <xdr:rowOff>9525</xdr:rowOff>
    </xdr:from>
    <xdr:to>
      <xdr:col>6</xdr:col>
      <xdr:colOff>85725</xdr:colOff>
      <xdr:row>43</xdr:row>
      <xdr:rowOff>85725</xdr:rowOff>
    </xdr:to>
    <xdr:graphicFrame macro="">
      <xdr:nvGraphicFramePr>
        <xdr:cNvPr id="37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1830160</xdr:colOff>
      <xdr:row>43</xdr:row>
      <xdr:rowOff>138792</xdr:rowOff>
    </xdr:from>
    <xdr:to>
      <xdr:col>12</xdr:col>
      <xdr:colOff>755196</xdr:colOff>
      <xdr:row>59</xdr:row>
      <xdr:rowOff>24492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43</xdr:row>
      <xdr:rowOff>61312</xdr:rowOff>
    </xdr:from>
    <xdr:to>
      <xdr:col>5</xdr:col>
      <xdr:colOff>381000</xdr:colOff>
      <xdr:row>58</xdr:row>
      <xdr:rowOff>137512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7</xdr:col>
      <xdr:colOff>214004</xdr:colOff>
      <xdr:row>0</xdr:row>
      <xdr:rowOff>95251</xdr:rowOff>
    </xdr:from>
    <xdr:to>
      <xdr:col>16</xdr:col>
      <xdr:colOff>405437</xdr:colOff>
      <xdr:row>12</xdr:row>
      <xdr:rowOff>13607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10825"/>
        <a:stretch/>
      </xdr:blipFill>
      <xdr:spPr>
        <a:xfrm>
          <a:off x="6582147" y="95251"/>
          <a:ext cx="6566102" cy="2204356"/>
        </a:xfrm>
        <a:prstGeom prst="rect">
          <a:avLst/>
        </a:prstGeom>
      </xdr:spPr>
    </xdr:pic>
    <xdr:clientData/>
  </xdr:twoCellAnchor>
  <xdr:twoCellAnchor editAs="oneCell">
    <xdr:from>
      <xdr:col>24</xdr:col>
      <xdr:colOff>617517</xdr:colOff>
      <xdr:row>14</xdr:row>
      <xdr:rowOff>47748</xdr:rowOff>
    </xdr:from>
    <xdr:to>
      <xdr:col>33</xdr:col>
      <xdr:colOff>641516</xdr:colOff>
      <xdr:row>24</xdr:row>
      <xdr:rowOff>56284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10109"/>
        <a:stretch/>
      </xdr:blipFill>
      <xdr:spPr>
        <a:xfrm>
          <a:off x="17457717" y="2714748"/>
          <a:ext cx="6560365" cy="1733427"/>
        </a:xfrm>
        <a:prstGeom prst="rect">
          <a:avLst/>
        </a:prstGeom>
      </xdr:spPr>
    </xdr:pic>
    <xdr:clientData/>
  </xdr:twoCellAnchor>
  <xdr:twoCellAnchor>
    <xdr:from>
      <xdr:col>18</xdr:col>
      <xdr:colOff>73269</xdr:colOff>
      <xdr:row>16</xdr:row>
      <xdr:rowOff>158115</xdr:rowOff>
    </xdr:from>
    <xdr:to>
      <xdr:col>24</xdr:col>
      <xdr:colOff>439616</xdr:colOff>
      <xdr:row>26</xdr:row>
      <xdr:rowOff>190499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18</xdr:col>
      <xdr:colOff>202107</xdr:colOff>
      <xdr:row>0</xdr:row>
      <xdr:rowOff>123264</xdr:rowOff>
    </xdr:from>
    <xdr:to>
      <xdr:col>29</xdr:col>
      <xdr:colOff>178004</xdr:colOff>
      <xdr:row>10</xdr:row>
      <xdr:rowOff>134471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14959"/>
        <a:stretch/>
      </xdr:blipFill>
      <xdr:spPr>
        <a:xfrm>
          <a:off x="13156107" y="123264"/>
          <a:ext cx="8055337" cy="1916207"/>
        </a:xfrm>
        <a:prstGeom prst="rect">
          <a:avLst/>
        </a:prstGeom>
      </xdr:spPr>
    </xdr:pic>
    <xdr:clientData/>
  </xdr:twoCellAnchor>
  <xdr:twoCellAnchor editAs="oneCell">
    <xdr:from>
      <xdr:col>18</xdr:col>
      <xdr:colOff>158226</xdr:colOff>
      <xdr:row>27</xdr:row>
      <xdr:rowOff>61978</xdr:rowOff>
    </xdr:from>
    <xdr:to>
      <xdr:col>19</xdr:col>
      <xdr:colOff>719313</xdr:colOff>
      <xdr:row>31</xdr:row>
      <xdr:rowOff>99978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98465" y="5627891"/>
          <a:ext cx="1173999" cy="800000"/>
        </a:xfrm>
        <a:prstGeom prst="rect">
          <a:avLst/>
        </a:prstGeom>
      </xdr:spPr>
    </xdr:pic>
    <xdr:clientData/>
  </xdr:twoCellAnchor>
  <xdr:twoCellAnchor>
    <xdr:from>
      <xdr:col>15</xdr:col>
      <xdr:colOff>488674</xdr:colOff>
      <xdr:row>107</xdr:row>
      <xdr:rowOff>69574</xdr:rowOff>
    </xdr:from>
    <xdr:to>
      <xdr:col>21</xdr:col>
      <xdr:colOff>712304</xdr:colOff>
      <xdr:row>121</xdr:row>
      <xdr:rowOff>145774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89620</xdr:colOff>
      <xdr:row>123</xdr:row>
      <xdr:rowOff>13855</xdr:rowOff>
    </xdr:from>
    <xdr:to>
      <xdr:col>22</xdr:col>
      <xdr:colOff>274925</xdr:colOff>
      <xdr:row>137</xdr:row>
      <xdr:rowOff>90055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66675</xdr:rowOff>
    </xdr:from>
    <xdr:to>
      <xdr:col>4</xdr:col>
      <xdr:colOff>49516</xdr:colOff>
      <xdr:row>33</xdr:row>
      <xdr:rowOff>104960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24300"/>
          <a:ext cx="4230991" cy="213378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43</xdr:row>
      <xdr:rowOff>19050</xdr:rowOff>
    </xdr:from>
    <xdr:to>
      <xdr:col>3</xdr:col>
      <xdr:colOff>504369</xdr:colOff>
      <xdr:row>46</xdr:row>
      <xdr:rowOff>123740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5972175"/>
          <a:ext cx="3647619" cy="6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233572</xdr:colOff>
      <xdr:row>20</xdr:row>
      <xdr:rowOff>176591</xdr:rowOff>
    </xdr:from>
    <xdr:to>
      <xdr:col>8</xdr:col>
      <xdr:colOff>67703</xdr:colOff>
      <xdr:row>28</xdr:row>
      <xdr:rowOff>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3214"/>
        <a:stretch/>
      </xdr:blipFill>
      <xdr:spPr>
        <a:xfrm>
          <a:off x="5007278" y="4221915"/>
          <a:ext cx="4025131" cy="1347409"/>
        </a:xfrm>
        <a:prstGeom prst="rect">
          <a:avLst/>
        </a:prstGeom>
      </xdr:spPr>
    </xdr:pic>
    <xdr:clientData/>
  </xdr:twoCellAnchor>
  <xdr:twoCellAnchor>
    <xdr:from>
      <xdr:col>2</xdr:col>
      <xdr:colOff>2352241</xdr:colOff>
      <xdr:row>29</xdr:row>
      <xdr:rowOff>8660</xdr:rowOff>
    </xdr:from>
    <xdr:to>
      <xdr:col>6</xdr:col>
      <xdr:colOff>1028266</xdr:colOff>
      <xdr:row>43</xdr:row>
      <xdr:rowOff>84860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53788</xdr:rowOff>
    </xdr:from>
    <xdr:to>
      <xdr:col>2</xdr:col>
      <xdr:colOff>1093738</xdr:colOff>
      <xdr:row>30</xdr:row>
      <xdr:rowOff>129988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35288"/>
          <a:ext cx="3550283" cy="1600200"/>
        </a:xfrm>
        <a:prstGeom prst="rect">
          <a:avLst/>
        </a:prstGeom>
      </xdr:spPr>
    </xdr:pic>
    <xdr:clientData/>
  </xdr:twoCellAnchor>
  <xdr:twoCellAnchor editAs="oneCell">
    <xdr:from>
      <xdr:col>4</xdr:col>
      <xdr:colOff>750234</xdr:colOff>
      <xdr:row>22</xdr:row>
      <xdr:rowOff>41462</xdr:rowOff>
    </xdr:from>
    <xdr:to>
      <xdr:col>8</xdr:col>
      <xdr:colOff>541594</xdr:colOff>
      <xdr:row>30</xdr:row>
      <xdr:rowOff>168088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2023"/>
        <a:stretch/>
      </xdr:blipFill>
      <xdr:spPr>
        <a:xfrm>
          <a:off x="3742205" y="4232462"/>
          <a:ext cx="3832664" cy="1650626"/>
        </a:xfrm>
        <a:prstGeom prst="rect">
          <a:avLst/>
        </a:prstGeom>
      </xdr:spPr>
    </xdr:pic>
    <xdr:clientData/>
  </xdr:twoCellAnchor>
  <xdr:twoCellAnchor editAs="oneCell">
    <xdr:from>
      <xdr:col>10</xdr:col>
      <xdr:colOff>81244</xdr:colOff>
      <xdr:row>22</xdr:row>
      <xdr:rowOff>106456</xdr:rowOff>
    </xdr:from>
    <xdr:to>
      <xdr:col>15</xdr:col>
      <xdr:colOff>324802</xdr:colOff>
      <xdr:row>32</xdr:row>
      <xdr:rowOff>68030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81391" y="4487956"/>
          <a:ext cx="3906906" cy="1866574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238126</xdr:colOff>
      <xdr:row>32</xdr:row>
      <xdr:rowOff>123825</xdr:rowOff>
    </xdr:from>
    <xdr:to>
      <xdr:col>16</xdr:col>
      <xdr:colOff>185725</xdr:colOff>
      <xdr:row>41</xdr:row>
      <xdr:rowOff>22413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2236"/>
        <a:stretch/>
      </xdr:blipFill>
      <xdr:spPr>
        <a:xfrm>
          <a:off x="6972861" y="6219825"/>
          <a:ext cx="5102306" cy="1613088"/>
        </a:xfrm>
        <a:prstGeom prst="rect">
          <a:avLst/>
        </a:prstGeom>
      </xdr:spPr>
    </xdr:pic>
    <xdr:clientData/>
  </xdr:twoCellAnchor>
  <xdr:twoCellAnchor>
    <xdr:from>
      <xdr:col>18</xdr:col>
      <xdr:colOff>60760</xdr:colOff>
      <xdr:row>22</xdr:row>
      <xdr:rowOff>46630</xdr:rowOff>
    </xdr:from>
    <xdr:to>
      <xdr:col>21</xdr:col>
      <xdr:colOff>803413</xdr:colOff>
      <xdr:row>34</xdr:row>
      <xdr:rowOff>24848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1101083</xdr:colOff>
      <xdr:row>22</xdr:row>
      <xdr:rowOff>110150</xdr:rowOff>
    </xdr:from>
    <xdr:to>
      <xdr:col>27</xdr:col>
      <xdr:colOff>331305</xdr:colOff>
      <xdr:row>34</xdr:row>
      <xdr:rowOff>41413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518487</xdr:colOff>
      <xdr:row>22</xdr:row>
      <xdr:rowOff>179517</xdr:rowOff>
    </xdr:from>
    <xdr:to>
      <xdr:col>33</xdr:col>
      <xdr:colOff>429962</xdr:colOff>
      <xdr:row>34</xdr:row>
      <xdr:rowOff>99955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558613</xdr:colOff>
      <xdr:row>22</xdr:row>
      <xdr:rowOff>47065</xdr:rowOff>
    </xdr:from>
    <xdr:to>
      <xdr:col>5</xdr:col>
      <xdr:colOff>506047</xdr:colOff>
      <xdr:row>30</xdr:row>
      <xdr:rowOff>75640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731" y="4238065"/>
          <a:ext cx="4003963" cy="1552575"/>
        </a:xfrm>
        <a:prstGeom prst="rect">
          <a:avLst/>
        </a:prstGeom>
      </xdr:spPr>
    </xdr:pic>
    <xdr:clientData/>
  </xdr:twoCellAnchor>
  <xdr:twoCellAnchor editAs="oneCell">
    <xdr:from>
      <xdr:col>8</xdr:col>
      <xdr:colOff>586067</xdr:colOff>
      <xdr:row>19</xdr:row>
      <xdr:rowOff>161924</xdr:rowOff>
    </xdr:from>
    <xdr:to>
      <xdr:col>12</xdr:col>
      <xdr:colOff>832568</xdr:colOff>
      <xdr:row>29</xdr:row>
      <xdr:rowOff>190499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2767" y="3781424"/>
          <a:ext cx="4220496" cy="1933575"/>
        </a:xfrm>
        <a:prstGeom prst="rect">
          <a:avLst/>
        </a:prstGeom>
      </xdr:spPr>
    </xdr:pic>
    <xdr:clientData/>
  </xdr:twoCellAnchor>
  <xdr:twoCellAnchor editAs="oneCell">
    <xdr:from>
      <xdr:col>5</xdr:col>
      <xdr:colOff>300777</xdr:colOff>
      <xdr:row>21</xdr:row>
      <xdr:rowOff>175908</xdr:rowOff>
    </xdr:from>
    <xdr:to>
      <xdr:col>7</xdr:col>
      <xdr:colOff>999495</xdr:colOff>
      <xdr:row>30</xdr:row>
      <xdr:rowOff>130303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29902" y="4176408"/>
          <a:ext cx="3529714" cy="1668895"/>
        </a:xfrm>
        <a:prstGeom prst="rect">
          <a:avLst/>
        </a:prstGeom>
      </xdr:spPr>
    </xdr:pic>
    <xdr:clientData/>
  </xdr:twoCellAnchor>
  <xdr:twoCellAnchor editAs="oneCell">
    <xdr:from>
      <xdr:col>15</xdr:col>
      <xdr:colOff>760345</xdr:colOff>
      <xdr:row>51</xdr:row>
      <xdr:rowOff>103253</xdr:rowOff>
    </xdr:from>
    <xdr:to>
      <xdr:col>21</xdr:col>
      <xdr:colOff>10827</xdr:colOff>
      <xdr:row>57</xdr:row>
      <xdr:rowOff>155859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3607"/>
        <a:stretch/>
      </xdr:blipFill>
      <xdr:spPr>
        <a:xfrm>
          <a:off x="16315084" y="9818753"/>
          <a:ext cx="4244895" cy="1195606"/>
        </a:xfrm>
        <a:prstGeom prst="rect">
          <a:avLst/>
        </a:prstGeom>
      </xdr:spPr>
    </xdr:pic>
    <xdr:clientData/>
  </xdr:twoCellAnchor>
  <xdr:twoCellAnchor>
    <xdr:from>
      <xdr:col>13</xdr:col>
      <xdr:colOff>368775</xdr:colOff>
      <xdr:row>12</xdr:row>
      <xdr:rowOff>167681</xdr:rowOff>
    </xdr:from>
    <xdr:to>
      <xdr:col>18</xdr:col>
      <xdr:colOff>593911</xdr:colOff>
      <xdr:row>27</xdr:row>
      <xdr:rowOff>53381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15</xdr:col>
      <xdr:colOff>422413</xdr:colOff>
      <xdr:row>44</xdr:row>
      <xdr:rowOff>188015</xdr:rowOff>
    </xdr:from>
    <xdr:to>
      <xdr:col>17</xdr:col>
      <xdr:colOff>211847</xdr:colOff>
      <xdr:row>47</xdr:row>
      <xdr:rowOff>178420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977152" y="8570015"/>
          <a:ext cx="1495652" cy="561905"/>
        </a:xfrm>
        <a:prstGeom prst="rect">
          <a:avLst/>
        </a:prstGeom>
      </xdr:spPr>
    </xdr:pic>
    <xdr:clientData/>
  </xdr:twoCellAnchor>
  <xdr:twoCellAnchor editAs="oneCell">
    <xdr:from>
      <xdr:col>15</xdr:col>
      <xdr:colOff>205485</xdr:colOff>
      <xdr:row>50</xdr:row>
      <xdr:rowOff>16151</xdr:rowOff>
    </xdr:from>
    <xdr:to>
      <xdr:col>17</xdr:col>
      <xdr:colOff>453793</xdr:colOff>
      <xdr:row>51</xdr:row>
      <xdr:rowOff>101841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760224" y="9541151"/>
          <a:ext cx="1954526" cy="276190"/>
        </a:xfrm>
        <a:prstGeom prst="rect">
          <a:avLst/>
        </a:prstGeom>
      </xdr:spPr>
    </xdr:pic>
    <xdr:clientData/>
  </xdr:twoCellAnchor>
  <xdr:twoCellAnchor>
    <xdr:from>
      <xdr:col>26</xdr:col>
      <xdr:colOff>312593</xdr:colOff>
      <xdr:row>12</xdr:row>
      <xdr:rowOff>82695</xdr:rowOff>
    </xdr:from>
    <xdr:to>
      <xdr:col>33</xdr:col>
      <xdr:colOff>360218</xdr:colOff>
      <xdr:row>26</xdr:row>
      <xdr:rowOff>158895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469628</xdr:colOff>
      <xdr:row>12</xdr:row>
      <xdr:rowOff>134063</xdr:rowOff>
    </xdr:from>
    <xdr:to>
      <xdr:col>25</xdr:col>
      <xdr:colOff>468610</xdr:colOff>
      <xdr:row>27</xdr:row>
      <xdr:rowOff>19763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37357</xdr:colOff>
      <xdr:row>42</xdr:row>
      <xdr:rowOff>119002</xdr:rowOff>
    </xdr:from>
    <xdr:to>
      <xdr:col>29</xdr:col>
      <xdr:colOff>50643</xdr:colOff>
      <xdr:row>56</xdr:row>
      <xdr:rowOff>166627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448" y="8120002"/>
          <a:ext cx="3650104" cy="2714625"/>
        </a:xfrm>
        <a:prstGeom prst="rect">
          <a:avLst/>
        </a:prstGeom>
      </xdr:spPr>
    </xdr:pic>
    <xdr:clientData/>
  </xdr:twoCellAnchor>
  <xdr:twoCellAnchor editAs="oneCell">
    <xdr:from>
      <xdr:col>21</xdr:col>
      <xdr:colOff>178131</xdr:colOff>
      <xdr:row>33</xdr:row>
      <xdr:rowOff>107336</xdr:rowOff>
    </xdr:from>
    <xdr:to>
      <xdr:col>29</xdr:col>
      <xdr:colOff>308713</xdr:colOff>
      <xdr:row>39</xdr:row>
      <xdr:rowOff>2384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9949" y="6393836"/>
          <a:ext cx="4979673" cy="1038048"/>
        </a:xfrm>
        <a:prstGeom prst="rect">
          <a:avLst/>
        </a:prstGeom>
      </xdr:spPr>
    </xdr:pic>
    <xdr:clientData/>
  </xdr:twoCellAnchor>
  <xdr:twoCellAnchor>
    <xdr:from>
      <xdr:col>5</xdr:col>
      <xdr:colOff>748393</xdr:colOff>
      <xdr:row>30</xdr:row>
      <xdr:rowOff>4082</xdr:rowOff>
    </xdr:from>
    <xdr:to>
      <xdr:col>11</xdr:col>
      <xdr:colOff>390525</xdr:colOff>
      <xdr:row>43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156883</xdr:colOff>
      <xdr:row>27</xdr:row>
      <xdr:rowOff>73958</xdr:rowOff>
    </xdr:from>
    <xdr:to>
      <xdr:col>10</xdr:col>
      <xdr:colOff>476250</xdr:colOff>
      <xdr:row>39</xdr:row>
      <xdr:rowOff>65941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825335</xdr:colOff>
      <xdr:row>35</xdr:row>
      <xdr:rowOff>39834</xdr:rowOff>
    </xdr:from>
    <xdr:to>
      <xdr:col>11</xdr:col>
      <xdr:colOff>258535</xdr:colOff>
      <xdr:row>54</xdr:row>
      <xdr:rowOff>81643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16</xdr:row>
      <xdr:rowOff>110677</xdr:rowOff>
    </xdr:from>
    <xdr:to>
      <xdr:col>5</xdr:col>
      <xdr:colOff>212480</xdr:colOff>
      <xdr:row>31</xdr:row>
      <xdr:rowOff>10258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634" y="3158677"/>
          <a:ext cx="3135923" cy="2757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791308</xdr:colOff>
      <xdr:row>17</xdr:row>
      <xdr:rowOff>161192</xdr:rowOff>
    </xdr:from>
    <xdr:to>
      <xdr:col>7</xdr:col>
      <xdr:colOff>14654</xdr:colOff>
      <xdr:row>19</xdr:row>
      <xdr:rowOff>0</xdr:rowOff>
    </xdr:to>
    <xdr:sp macro="" textlink="">
      <xdr:nvSpPr>
        <xdr:cNvPr id="4" name="Rectangle 3"/>
        <xdr:cNvSpPr/>
      </xdr:nvSpPr>
      <xdr:spPr>
        <a:xfrm>
          <a:off x="4513385" y="3399692"/>
          <a:ext cx="630115" cy="2198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Steps :</a:t>
          </a:r>
        </a:p>
      </xdr:txBody>
    </xdr:sp>
    <xdr:clientData/>
  </xdr:twoCellAnchor>
  <xdr:twoCellAnchor>
    <xdr:from>
      <xdr:col>6</xdr:col>
      <xdr:colOff>29307</xdr:colOff>
      <xdr:row>19</xdr:row>
      <xdr:rowOff>95248</xdr:rowOff>
    </xdr:from>
    <xdr:to>
      <xdr:col>7</xdr:col>
      <xdr:colOff>490904</xdr:colOff>
      <xdr:row>21</xdr:row>
      <xdr:rowOff>161191</xdr:rowOff>
    </xdr:to>
    <xdr:sp macro="" textlink="">
      <xdr:nvSpPr>
        <xdr:cNvPr id="5" name="Rectangle 4"/>
        <xdr:cNvSpPr/>
      </xdr:nvSpPr>
      <xdr:spPr>
        <a:xfrm>
          <a:off x="4550019" y="3714748"/>
          <a:ext cx="1069731" cy="44694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1. Problem identification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754674</xdr:colOff>
      <xdr:row>22</xdr:row>
      <xdr:rowOff>58615</xdr:rowOff>
    </xdr:from>
    <xdr:to>
      <xdr:col>7</xdr:col>
      <xdr:colOff>556846</xdr:colOff>
      <xdr:row>24</xdr:row>
      <xdr:rowOff>117231</xdr:rowOff>
    </xdr:to>
    <xdr:sp macro="" textlink="">
      <xdr:nvSpPr>
        <xdr:cNvPr id="6" name="Rectangle 5"/>
        <xdr:cNvSpPr/>
      </xdr:nvSpPr>
      <xdr:spPr>
        <a:xfrm>
          <a:off x="4476751" y="4249615"/>
          <a:ext cx="1208941" cy="43961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2. Literature Review</a:t>
          </a:r>
        </a:p>
      </xdr:txBody>
    </xdr:sp>
    <xdr:clientData/>
  </xdr:twoCellAnchor>
  <xdr:twoCellAnchor>
    <xdr:from>
      <xdr:col>5</xdr:col>
      <xdr:colOff>791307</xdr:colOff>
      <xdr:row>25</xdr:row>
      <xdr:rowOff>29308</xdr:rowOff>
    </xdr:from>
    <xdr:to>
      <xdr:col>7</xdr:col>
      <xdr:colOff>14653</xdr:colOff>
      <xdr:row>26</xdr:row>
      <xdr:rowOff>58616</xdr:rowOff>
    </xdr:to>
    <xdr:sp macro="" textlink="">
      <xdr:nvSpPr>
        <xdr:cNvPr id="7" name="Rectangle 6"/>
        <xdr:cNvSpPr/>
      </xdr:nvSpPr>
      <xdr:spPr>
        <a:xfrm>
          <a:off x="4513384" y="4791808"/>
          <a:ext cx="630115" cy="2198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3.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Data C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791307</xdr:colOff>
      <xdr:row>26</xdr:row>
      <xdr:rowOff>183173</xdr:rowOff>
    </xdr:from>
    <xdr:to>
      <xdr:col>7</xdr:col>
      <xdr:colOff>14653</xdr:colOff>
      <xdr:row>28</xdr:row>
      <xdr:rowOff>21981</xdr:rowOff>
    </xdr:to>
    <xdr:sp macro="" textlink="">
      <xdr:nvSpPr>
        <xdr:cNvPr id="8" name="Rectangle 7"/>
        <xdr:cNvSpPr/>
      </xdr:nvSpPr>
      <xdr:spPr>
        <a:xfrm>
          <a:off x="4513384" y="5136173"/>
          <a:ext cx="630115" cy="2198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Steps :</a:t>
          </a:r>
        </a:p>
      </xdr:txBody>
    </xdr:sp>
    <xdr:clientData/>
  </xdr:twoCellAnchor>
  <xdr:twoCellAnchor>
    <xdr:from>
      <xdr:col>8</xdr:col>
      <xdr:colOff>7327</xdr:colOff>
      <xdr:row>17</xdr:row>
      <xdr:rowOff>7327</xdr:rowOff>
    </xdr:from>
    <xdr:to>
      <xdr:col>8</xdr:col>
      <xdr:colOff>7327</xdr:colOff>
      <xdr:row>32</xdr:row>
      <xdr:rowOff>14654</xdr:rowOff>
    </xdr:to>
    <xdr:cxnSp macro="">
      <xdr:nvCxnSpPr>
        <xdr:cNvPr id="10" name="Straight Connector 9"/>
        <xdr:cNvCxnSpPr/>
      </xdr:nvCxnSpPr>
      <xdr:spPr>
        <a:xfrm>
          <a:off x="5744308" y="3245827"/>
          <a:ext cx="0" cy="2864827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20067</xdr:colOff>
      <xdr:row>26</xdr:row>
      <xdr:rowOff>81231</xdr:rowOff>
    </xdr:from>
    <xdr:to>
      <xdr:col>8</xdr:col>
      <xdr:colOff>537732</xdr:colOff>
      <xdr:row>27</xdr:row>
      <xdr:rowOff>163758</xdr:rowOff>
    </xdr:to>
    <xdr:sp macro="" textlink="">
      <xdr:nvSpPr>
        <xdr:cNvPr id="16" name="Rectangle 15"/>
        <xdr:cNvSpPr/>
      </xdr:nvSpPr>
      <xdr:spPr>
        <a:xfrm>
          <a:off x="4550654" y="5034231"/>
          <a:ext cx="1743491" cy="2730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Data Analysis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109903</xdr:colOff>
      <xdr:row>29</xdr:row>
      <xdr:rowOff>175843</xdr:rowOff>
    </xdr:from>
    <xdr:to>
      <xdr:col>9</xdr:col>
      <xdr:colOff>14656</xdr:colOff>
      <xdr:row>31</xdr:row>
      <xdr:rowOff>67870</xdr:rowOff>
    </xdr:to>
    <xdr:sp macro="" textlink="">
      <xdr:nvSpPr>
        <xdr:cNvPr id="17" name="Rectangle 16"/>
        <xdr:cNvSpPr/>
      </xdr:nvSpPr>
      <xdr:spPr>
        <a:xfrm>
          <a:off x="4630615" y="5700343"/>
          <a:ext cx="1729156" cy="2730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Market Feasibility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650821</xdr:colOff>
      <xdr:row>32</xdr:row>
      <xdr:rowOff>6369</xdr:rowOff>
    </xdr:from>
    <xdr:to>
      <xdr:col>8</xdr:col>
      <xdr:colOff>365073</xdr:colOff>
      <xdr:row>33</xdr:row>
      <xdr:rowOff>88896</xdr:rowOff>
    </xdr:to>
    <xdr:sp macro="" textlink="">
      <xdr:nvSpPr>
        <xdr:cNvPr id="18" name="Rectangle 17"/>
        <xdr:cNvSpPr/>
      </xdr:nvSpPr>
      <xdr:spPr>
        <a:xfrm>
          <a:off x="4377995" y="6102369"/>
          <a:ext cx="1743491" cy="2730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Financial Feasibility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330027</xdr:colOff>
      <xdr:row>17</xdr:row>
      <xdr:rowOff>151062</xdr:rowOff>
    </xdr:from>
    <xdr:to>
      <xdr:col>13</xdr:col>
      <xdr:colOff>331305</xdr:colOff>
      <xdr:row>33</xdr:row>
      <xdr:rowOff>122209</xdr:rowOff>
    </xdr:to>
    <xdr:grpSp>
      <xdr:nvGrpSpPr>
        <xdr:cNvPr id="37" name="Group 36"/>
        <xdr:cNvGrpSpPr/>
      </xdr:nvGrpSpPr>
      <xdr:grpSpPr>
        <a:xfrm>
          <a:off x="7312266" y="3389562"/>
          <a:ext cx="1840017" cy="3019147"/>
          <a:chOff x="7602157" y="3041692"/>
          <a:chExt cx="1840017" cy="3019147"/>
        </a:xfrm>
      </xdr:grpSpPr>
      <xdr:cxnSp macro="">
        <xdr:nvCxnSpPr>
          <xdr:cNvPr id="29" name="Straight Arrow Connector 28"/>
          <xdr:cNvCxnSpPr/>
        </xdr:nvCxnSpPr>
        <xdr:spPr>
          <a:xfrm>
            <a:off x="8513883" y="3818984"/>
            <a:ext cx="0" cy="20636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36" name="Group 35"/>
          <xdr:cNvGrpSpPr/>
        </xdr:nvGrpSpPr>
        <xdr:grpSpPr>
          <a:xfrm>
            <a:off x="7602157" y="3041692"/>
            <a:ext cx="1840017" cy="3019147"/>
            <a:chOff x="7602157" y="3041692"/>
            <a:chExt cx="1840017" cy="3019147"/>
          </a:xfrm>
        </xdr:grpSpPr>
        <xdr:sp macro="" textlink="">
          <xdr:nvSpPr>
            <xdr:cNvPr id="11" name="Rectangle 10"/>
            <xdr:cNvSpPr/>
          </xdr:nvSpPr>
          <xdr:spPr>
            <a:xfrm>
              <a:off x="7607958" y="3527751"/>
              <a:ext cx="1825934" cy="29053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 baseline="0">
                  <a:latin typeface="Arial" panose="020B0604020202020204" pitchFamily="34" charset="0"/>
                  <a:cs typeface="Arial" panose="020B0604020202020204" pitchFamily="34" charset="0"/>
                </a:rPr>
                <a:t>Situation Analysis</a:t>
              </a:r>
              <a:endParaRPr 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" name="Rectangle 11"/>
            <xdr:cNvSpPr/>
          </xdr:nvSpPr>
          <xdr:spPr>
            <a:xfrm>
              <a:off x="7616813" y="4659921"/>
              <a:ext cx="1825361" cy="39247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Determine Dominant Parameter</a:t>
              </a:r>
            </a:p>
          </xdr:txBody>
        </xdr:sp>
        <xdr:sp macro="" textlink="">
          <xdr:nvSpPr>
            <xdr:cNvPr id="13" name="Rectangle 12"/>
            <xdr:cNvSpPr/>
          </xdr:nvSpPr>
          <xdr:spPr>
            <a:xfrm>
              <a:off x="7602157" y="3041692"/>
              <a:ext cx="1823451" cy="26377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 baseline="0">
                  <a:latin typeface="Arial" panose="020B0604020202020204" pitchFamily="34" charset="0"/>
                  <a:cs typeface="Arial" panose="020B0604020202020204" pitchFamily="34" charset="0"/>
                </a:rPr>
                <a:t>Problem Identificarion</a:t>
              </a:r>
              <a:endParaRPr 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Rectangle 13"/>
            <xdr:cNvSpPr/>
          </xdr:nvSpPr>
          <xdr:spPr>
            <a:xfrm>
              <a:off x="7622228" y="4040319"/>
              <a:ext cx="1819946" cy="399159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 baseline="0">
                  <a:latin typeface="Arial" panose="020B0604020202020204" pitchFamily="34" charset="0"/>
                  <a:cs typeface="Arial" panose="020B0604020202020204" pitchFamily="34" charset="0"/>
                </a:rPr>
                <a:t>Literature Review &amp; Data Collection </a:t>
              </a:r>
              <a:endParaRPr 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" name="Rectangle 14"/>
            <xdr:cNvSpPr/>
          </xdr:nvSpPr>
          <xdr:spPr>
            <a:xfrm>
              <a:off x="7618086" y="5288125"/>
              <a:ext cx="1812107" cy="28607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 baseline="0">
                  <a:latin typeface="Arial" panose="020B0604020202020204" pitchFamily="34" charset="0"/>
                  <a:cs typeface="Arial" panose="020B0604020202020204" pitchFamily="34" charset="0"/>
                </a:rPr>
                <a:t>Parameter Analysis</a:t>
              </a:r>
              <a:endParaRPr 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2" name="Straight Arrow Connector 21"/>
            <xdr:cNvCxnSpPr>
              <a:stCxn id="13" idx="2"/>
            </xdr:cNvCxnSpPr>
          </xdr:nvCxnSpPr>
          <xdr:spPr>
            <a:xfrm>
              <a:off x="8513883" y="3305462"/>
              <a:ext cx="0" cy="206364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1" name="Rectangle 30"/>
            <xdr:cNvSpPr/>
          </xdr:nvSpPr>
          <xdr:spPr>
            <a:xfrm>
              <a:off x="7618086" y="5776798"/>
              <a:ext cx="1799239" cy="284041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000" baseline="0">
                  <a:latin typeface="Arial" panose="020B0604020202020204" pitchFamily="34" charset="0"/>
                  <a:cs typeface="Arial" panose="020B0604020202020204" pitchFamily="34" charset="0"/>
                </a:rPr>
                <a:t>Conclusion</a:t>
              </a:r>
              <a:endParaRPr 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3" name="Straight Arrow Connector 32"/>
            <xdr:cNvCxnSpPr/>
          </xdr:nvCxnSpPr>
          <xdr:spPr>
            <a:xfrm>
              <a:off x="8513883" y="4431897"/>
              <a:ext cx="0" cy="206364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4" name="Straight Arrow Connector 33"/>
            <xdr:cNvCxnSpPr/>
          </xdr:nvCxnSpPr>
          <xdr:spPr>
            <a:xfrm>
              <a:off x="8513883" y="5061375"/>
              <a:ext cx="0" cy="206364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5" name="Straight Arrow Connector 34"/>
            <xdr:cNvCxnSpPr/>
          </xdr:nvCxnSpPr>
          <xdr:spPr>
            <a:xfrm>
              <a:off x="8513883" y="5558332"/>
              <a:ext cx="0" cy="206364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zoomScale="55" zoomScaleNormal="55" workbookViewId="0">
      <selection activeCell="L11" sqref="L11"/>
    </sheetView>
  </sheetViews>
  <sheetFormatPr defaultRowHeight="15" x14ac:dyDescent="0.25"/>
  <cols>
    <col min="3" max="3" width="19" bestFit="1" customWidth="1"/>
    <col min="4" max="4" width="17.5703125" bestFit="1" customWidth="1"/>
    <col min="5" max="5" width="13.28515625" bestFit="1" customWidth="1"/>
    <col min="6" max="6" width="8.140625" customWidth="1"/>
    <col min="9" max="9" width="10.42578125" customWidth="1"/>
    <col min="10" max="10" width="10.28515625" customWidth="1"/>
    <col min="11" max="11" width="12.5703125" bestFit="1" customWidth="1"/>
  </cols>
  <sheetData>
    <row r="2" spans="3:14" ht="22.5" customHeight="1" x14ac:dyDescent="0.25">
      <c r="H2" s="245" t="s">
        <v>9</v>
      </c>
      <c r="I2" s="245" t="s">
        <v>62</v>
      </c>
      <c r="J2" s="245"/>
      <c r="K2" s="245"/>
      <c r="L2" s="245"/>
      <c r="M2" s="245"/>
    </row>
    <row r="3" spans="3:14" ht="22.5" customHeight="1" x14ac:dyDescent="0.25">
      <c r="C3" s="36" t="s">
        <v>68</v>
      </c>
      <c r="D3" s="36" t="s">
        <v>67</v>
      </c>
      <c r="E3" s="36" t="s">
        <v>66</v>
      </c>
      <c r="F3" s="36" t="s">
        <v>69</v>
      </c>
      <c r="H3" s="245"/>
      <c r="I3" s="38" t="str">
        <f>C4</f>
        <v>technical</v>
      </c>
      <c r="J3" s="38" t="str">
        <f>C5</f>
        <v>financial</v>
      </c>
      <c r="K3" s="38" t="str">
        <f>C6</f>
        <v>environment</v>
      </c>
      <c r="L3" s="38" t="str">
        <f>C7</f>
        <v>market</v>
      </c>
      <c r="M3" s="38" t="str">
        <f>C8</f>
        <v>social</v>
      </c>
    </row>
    <row r="4" spans="3:14" x14ac:dyDescent="0.25">
      <c r="C4" s="34" t="s">
        <v>2</v>
      </c>
      <c r="D4" s="34">
        <v>15</v>
      </c>
      <c r="E4" s="29">
        <f t="shared" ref="E4:E12" si="0">D4/15</f>
        <v>1</v>
      </c>
      <c r="F4" s="37">
        <v>1</v>
      </c>
      <c r="H4" s="7">
        <v>1</v>
      </c>
      <c r="I4" s="7"/>
      <c r="J4" s="7"/>
      <c r="K4" s="29"/>
      <c r="L4" s="7"/>
      <c r="M4" s="7"/>
    </row>
    <row r="5" spans="3:14" x14ac:dyDescent="0.25">
      <c r="C5" s="34" t="s">
        <v>0</v>
      </c>
      <c r="D5" s="34">
        <v>14</v>
      </c>
      <c r="E5" s="29">
        <f t="shared" si="0"/>
        <v>0.93333333333333335</v>
      </c>
      <c r="F5" s="37">
        <f>F4+1</f>
        <v>2</v>
      </c>
      <c r="H5" s="7">
        <v>2</v>
      </c>
      <c r="I5" s="7"/>
      <c r="J5" s="7"/>
      <c r="K5" s="7"/>
      <c r="L5" s="7"/>
      <c r="M5" s="7"/>
    </row>
    <row r="6" spans="3:14" x14ac:dyDescent="0.25">
      <c r="C6" s="34" t="s">
        <v>6</v>
      </c>
      <c r="D6" s="34">
        <v>12</v>
      </c>
      <c r="E6" s="29">
        <f t="shared" si="0"/>
        <v>0.8</v>
      </c>
      <c r="F6" s="37">
        <f t="shared" ref="F6:F12" si="1">F5+1</f>
        <v>3</v>
      </c>
      <c r="H6" s="7">
        <v>3</v>
      </c>
      <c r="I6" s="7"/>
      <c r="J6" s="7"/>
      <c r="K6" s="7">
        <v>6</v>
      </c>
      <c r="L6" s="7">
        <v>2</v>
      </c>
      <c r="M6" s="7">
        <v>8</v>
      </c>
    </row>
    <row r="7" spans="3:14" x14ac:dyDescent="0.25">
      <c r="C7" s="34" t="s">
        <v>3</v>
      </c>
      <c r="D7" s="34">
        <v>10</v>
      </c>
      <c r="E7" s="29">
        <f t="shared" si="0"/>
        <v>0.66666666666666663</v>
      </c>
      <c r="F7" s="37">
        <f t="shared" si="1"/>
        <v>4</v>
      </c>
      <c r="H7" s="7">
        <v>4</v>
      </c>
      <c r="I7" s="7">
        <v>9</v>
      </c>
      <c r="J7" s="7">
        <v>1</v>
      </c>
      <c r="K7" s="7">
        <v>9</v>
      </c>
      <c r="L7" s="7">
        <v>1</v>
      </c>
      <c r="M7" s="7">
        <v>7</v>
      </c>
    </row>
    <row r="8" spans="3:14" x14ac:dyDescent="0.25">
      <c r="C8" s="30" t="s">
        <v>4</v>
      </c>
      <c r="D8" s="30">
        <v>10</v>
      </c>
      <c r="E8" s="29">
        <f t="shared" si="0"/>
        <v>0.66666666666666663</v>
      </c>
      <c r="F8" s="37">
        <f t="shared" si="1"/>
        <v>5</v>
      </c>
      <c r="H8" s="30">
        <v>5</v>
      </c>
      <c r="I8" s="7">
        <v>6</v>
      </c>
      <c r="J8" s="7">
        <v>14</v>
      </c>
      <c r="K8" s="7"/>
      <c r="L8" s="7">
        <v>12</v>
      </c>
      <c r="M8" s="7"/>
    </row>
    <row r="9" spans="3:14" x14ac:dyDescent="0.25">
      <c r="C9" s="34" t="s">
        <v>1</v>
      </c>
      <c r="D9" s="34">
        <v>5</v>
      </c>
      <c r="E9" s="29">
        <f t="shared" si="0"/>
        <v>0.33333333333333331</v>
      </c>
      <c r="F9" s="37">
        <f t="shared" si="1"/>
        <v>6</v>
      </c>
      <c r="H9" t="s">
        <v>63</v>
      </c>
      <c r="I9" s="24">
        <f>(I4*$H$4)+(I5*$H$5)+(I6*$H$6)+(I7*$H$7)+(I8*$H$8)</f>
        <v>66</v>
      </c>
      <c r="J9" s="24">
        <f>(J4*$H$4)+(J5*$H$5)+(J6*$H$6)+(J7*$H$7)+(J8*$H$8)</f>
        <v>74</v>
      </c>
      <c r="K9" s="24">
        <f>(K4*$H$4)+(K5*$H$5)+(K6*$H$6)+(K7*$H$7)+(K8*$H$8)</f>
        <v>54</v>
      </c>
      <c r="L9" s="24">
        <f>(L4*$H$4)+(L5*$H$5)+(L6*$H$6)+(L7*$H$7)+(L8*$H$8)</f>
        <v>70</v>
      </c>
      <c r="M9" s="24">
        <f>(M4*$H$4)+(M5*$H$5)+(M6*$H$6)+(M7*$H$7)+(M8*$H$8)</f>
        <v>52</v>
      </c>
      <c r="N9" s="24">
        <f>SUM(I9:M9)</f>
        <v>316</v>
      </c>
    </row>
    <row r="10" spans="3:14" x14ac:dyDescent="0.25">
      <c r="C10" s="30" t="s">
        <v>8</v>
      </c>
      <c r="D10" s="30">
        <v>5</v>
      </c>
      <c r="E10" s="29">
        <f t="shared" si="0"/>
        <v>0.33333333333333331</v>
      </c>
      <c r="F10" s="37">
        <f t="shared" si="1"/>
        <v>7</v>
      </c>
      <c r="H10" t="s">
        <v>64</v>
      </c>
      <c r="I10" s="32">
        <f>I9/15</f>
        <v>4.4000000000000004</v>
      </c>
      <c r="J10" s="32">
        <f>J9/15</f>
        <v>4.9333333333333336</v>
      </c>
      <c r="K10" s="32">
        <f>K9/15</f>
        <v>3.6</v>
      </c>
      <c r="L10" s="32">
        <f>L9/15</f>
        <v>4.666666666666667</v>
      </c>
      <c r="M10" s="32">
        <f>M9/15</f>
        <v>3.4666666666666668</v>
      </c>
      <c r="N10" s="32">
        <f>SUM(I10:M10)</f>
        <v>21.06666666666667</v>
      </c>
    </row>
    <row r="11" spans="3:14" x14ac:dyDescent="0.25">
      <c r="C11" s="30" t="s">
        <v>5</v>
      </c>
      <c r="D11" s="30">
        <v>3</v>
      </c>
      <c r="E11" s="29">
        <f t="shared" si="0"/>
        <v>0.2</v>
      </c>
      <c r="F11" s="37">
        <f t="shared" si="1"/>
        <v>8</v>
      </c>
      <c r="H11" t="s">
        <v>65</v>
      </c>
      <c r="I11" s="33">
        <f>I10/$N$10</f>
        <v>0.20886075949367086</v>
      </c>
      <c r="J11" s="33">
        <f>J10/$N$10</f>
        <v>0.23417721518987339</v>
      </c>
      <c r="K11" s="33">
        <f>K10/$N$10</f>
        <v>0.17088607594936706</v>
      </c>
      <c r="L11" s="33">
        <f>L10/$N$10</f>
        <v>0.22151898734177214</v>
      </c>
      <c r="M11" s="33">
        <f>M10/$N$10</f>
        <v>0.16455696202531644</v>
      </c>
      <c r="N11" s="24">
        <f>SUM(I11:M11)</f>
        <v>0.99999999999999989</v>
      </c>
    </row>
    <row r="12" spans="3:14" x14ac:dyDescent="0.25">
      <c r="C12" s="30" t="s">
        <v>7</v>
      </c>
      <c r="D12" s="30">
        <v>1</v>
      </c>
      <c r="E12" s="29">
        <f t="shared" si="0"/>
        <v>6.6666666666666666E-2</v>
      </c>
      <c r="F12" s="37">
        <f t="shared" si="1"/>
        <v>9</v>
      </c>
    </row>
    <row r="13" spans="3:14" x14ac:dyDescent="0.25">
      <c r="C13" s="28"/>
      <c r="D13" s="28"/>
      <c r="E13" s="28"/>
      <c r="F13" s="28"/>
      <c r="I13" s="31"/>
    </row>
  </sheetData>
  <autoFilter ref="C3:E12">
    <sortState ref="C4:E12">
      <sortCondition descending="1" ref="D3:D12"/>
    </sortState>
  </autoFilter>
  <mergeCells count="2">
    <mergeCell ref="H2:H3"/>
    <mergeCell ref="I2:M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29"/>
  <sheetViews>
    <sheetView tabSelected="1" topLeftCell="A16" zoomScale="115" zoomScaleNormal="115" workbookViewId="0">
      <selection activeCell="O25" sqref="O25"/>
    </sheetView>
  </sheetViews>
  <sheetFormatPr defaultRowHeight="15" x14ac:dyDescent="0.25"/>
  <cols>
    <col min="4" max="4" width="13.7109375" bestFit="1" customWidth="1"/>
    <col min="5" max="5" width="14.7109375" bestFit="1" customWidth="1"/>
    <col min="6" max="6" width="12" customWidth="1"/>
  </cols>
  <sheetData>
    <row r="3" spans="3:11" x14ac:dyDescent="0.25">
      <c r="D3" s="161" t="s">
        <v>296</v>
      </c>
      <c r="E3" s="161" t="s">
        <v>297</v>
      </c>
      <c r="F3" s="161" t="s">
        <v>298</v>
      </c>
      <c r="G3" s="161" t="s">
        <v>299</v>
      </c>
      <c r="H3" s="161" t="s">
        <v>300</v>
      </c>
      <c r="I3" s="161" t="s">
        <v>301</v>
      </c>
      <c r="J3" s="161" t="s">
        <v>302</v>
      </c>
      <c r="K3" s="161" t="s">
        <v>303</v>
      </c>
    </row>
    <row r="4" spans="3:11" x14ac:dyDescent="0.25">
      <c r="C4" s="161">
        <v>2019</v>
      </c>
      <c r="D4" s="163">
        <f>-'laba rugi'!D22</f>
        <v>127284.29999999999</v>
      </c>
      <c r="E4" s="163">
        <v>127282</v>
      </c>
      <c r="F4" s="161">
        <f>ABS((E4-D4)/D4)*100</f>
        <v>1.8069785511554517E-3</v>
      </c>
      <c r="G4" s="161">
        <f>ABS(D4-$D$7)</f>
        <v>24129.185000000041</v>
      </c>
      <c r="H4" s="161">
        <f>ABS(E4-$E$7)</f>
        <v>24129</v>
      </c>
      <c r="I4">
        <f>G4^2</f>
        <v>582217568.76422703</v>
      </c>
      <c r="J4">
        <f>H4^2</f>
        <v>582208641</v>
      </c>
    </row>
    <row r="5" spans="3:11" x14ac:dyDescent="0.25">
      <c r="C5" s="161">
        <v>2020</v>
      </c>
      <c r="D5" s="163">
        <f>-'laba rugi'!E22</f>
        <v>79025.929999999906</v>
      </c>
      <c r="E5" s="163">
        <v>79024</v>
      </c>
      <c r="F5" s="161">
        <f>ABS((E5-D5)/D5)*100</f>
        <v>2.4422363645776844E-3</v>
      </c>
      <c r="G5" s="162">
        <f>ABS(D5-$D$7)</f>
        <v>24129.185000000041</v>
      </c>
      <c r="H5" s="162">
        <f>ABS(E5-$D$7)</f>
        <v>24131.114999999947</v>
      </c>
      <c r="I5">
        <f t="shared" ref="I5:J5" si="0">G5^2</f>
        <v>582217568.76422703</v>
      </c>
      <c r="J5">
        <f t="shared" si="0"/>
        <v>582310711.14322245</v>
      </c>
    </row>
    <row r="6" spans="3:11" x14ac:dyDescent="0.25">
      <c r="C6" s="162"/>
      <c r="D6" s="163"/>
      <c r="E6" s="163"/>
      <c r="F6" s="162"/>
      <c r="G6" s="162"/>
      <c r="H6" s="162"/>
    </row>
    <row r="7" spans="3:11" x14ac:dyDescent="0.25">
      <c r="C7" s="161"/>
      <c r="D7" s="161">
        <f t="shared" ref="D7:J7" si="1">AVERAGE(D4:D5)</f>
        <v>103155.11499999995</v>
      </c>
      <c r="E7" s="161">
        <f t="shared" si="1"/>
        <v>103153</v>
      </c>
      <c r="F7" s="171">
        <f t="shared" si="1"/>
        <v>2.1246074578665682E-3</v>
      </c>
      <c r="G7" s="161">
        <f t="shared" si="1"/>
        <v>24129.185000000041</v>
      </c>
      <c r="H7" s="161">
        <f t="shared" si="1"/>
        <v>24130.057499999974</v>
      </c>
      <c r="I7" s="161">
        <f t="shared" si="1"/>
        <v>582217568.76422703</v>
      </c>
      <c r="J7" s="161">
        <f t="shared" si="1"/>
        <v>582259676.07161117</v>
      </c>
      <c r="K7" s="171">
        <f>ABS((J7-I7)/I7)*100</f>
        <v>7.2322289197674448E-3</v>
      </c>
    </row>
    <row r="10" spans="3:11" x14ac:dyDescent="0.25">
      <c r="D10" s="162"/>
      <c r="E10" s="162"/>
      <c r="F10" s="162"/>
      <c r="G10" s="162"/>
      <c r="H10" s="162"/>
      <c r="I10" s="162"/>
      <c r="J10" s="162"/>
      <c r="K10" s="162"/>
    </row>
    <row r="11" spans="3:11" x14ac:dyDescent="0.25">
      <c r="C11" s="162"/>
      <c r="D11" s="163"/>
      <c r="E11" s="163"/>
      <c r="F11" s="162"/>
      <c r="G11" s="162"/>
      <c r="H11" s="162"/>
    </row>
    <row r="12" spans="3:11" x14ac:dyDescent="0.25">
      <c r="C12" s="162"/>
      <c r="D12" s="163"/>
      <c r="E12" s="163"/>
      <c r="F12" s="162"/>
      <c r="G12" s="162"/>
      <c r="H12" s="162"/>
    </row>
    <row r="13" spans="3:11" x14ac:dyDescent="0.25">
      <c r="C13" s="162"/>
      <c r="D13" s="163"/>
      <c r="E13" s="163"/>
      <c r="F13" s="162"/>
      <c r="G13" s="162"/>
      <c r="H13" s="162"/>
    </row>
    <row r="14" spans="3:11" x14ac:dyDescent="0.25">
      <c r="C14" s="162"/>
      <c r="D14" s="162"/>
      <c r="E14" s="162"/>
      <c r="F14" s="171"/>
      <c r="G14" s="162"/>
      <c r="H14" s="162"/>
      <c r="I14" s="162"/>
      <c r="J14" s="162"/>
      <c r="K14" s="171"/>
    </row>
    <row r="29" spans="14:14" x14ac:dyDescent="0.25">
      <c r="N29" t="s">
        <v>321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AU131"/>
  <sheetViews>
    <sheetView showGridLines="0" topLeftCell="G72" zoomScaleNormal="100" workbookViewId="0">
      <selection activeCell="M91" sqref="M91:R97"/>
    </sheetView>
  </sheetViews>
  <sheetFormatPr defaultRowHeight="15" x14ac:dyDescent="0.25"/>
  <cols>
    <col min="3" max="3" width="8.85546875" bestFit="1" customWidth="1"/>
    <col min="4" max="4" width="51" customWidth="1"/>
    <col min="5" max="5" width="9.7109375" bestFit="1" customWidth="1"/>
    <col min="6" max="6" width="12.28515625" bestFit="1" customWidth="1"/>
    <col min="10" max="10" width="9.140625" customWidth="1"/>
    <col min="11" max="11" width="11.28515625" customWidth="1"/>
    <col min="12" max="12" width="9.140625" customWidth="1"/>
    <col min="13" max="13" width="13" customWidth="1"/>
    <col min="14" max="14" width="12.7109375" customWidth="1"/>
    <col min="15" max="18" width="10.7109375" customWidth="1"/>
    <col min="20" max="20" width="11.7109375" customWidth="1"/>
    <col min="21" max="21" width="12.28515625" bestFit="1" customWidth="1"/>
    <col min="22" max="23" width="11.28515625" bestFit="1" customWidth="1"/>
    <col min="24" max="24" width="12.28515625" bestFit="1" customWidth="1"/>
    <col min="25" max="25" width="12.5703125" bestFit="1" customWidth="1"/>
    <col min="26" max="26" width="4.85546875" customWidth="1"/>
    <col min="27" max="27" width="13.28515625" bestFit="1" customWidth="1"/>
    <col min="28" max="28" width="11.28515625" customWidth="1"/>
    <col min="29" max="31" width="11.28515625" bestFit="1" customWidth="1"/>
    <col min="32" max="32" width="13.28515625" bestFit="1" customWidth="1"/>
    <col min="34" max="34" width="12" customWidth="1"/>
    <col min="35" max="39" width="10.28515625" bestFit="1" customWidth="1"/>
    <col min="40" max="40" width="4.7109375" customWidth="1"/>
    <col min="41" max="41" width="12" customWidth="1"/>
    <col min="42" max="46" width="8.7109375" customWidth="1"/>
  </cols>
  <sheetData>
    <row r="17" spans="3:20" x14ac:dyDescent="0.25">
      <c r="L17" s="247"/>
      <c r="M17" s="247"/>
      <c r="N17" s="247"/>
      <c r="O17" s="247"/>
      <c r="P17" s="247"/>
    </row>
    <row r="18" spans="3:20" x14ac:dyDescent="0.25">
      <c r="C18" s="19"/>
      <c r="L18" s="247" t="s">
        <v>138</v>
      </c>
      <c r="M18" s="247"/>
      <c r="N18" s="247"/>
      <c r="O18" s="247"/>
      <c r="P18" s="247"/>
    </row>
    <row r="19" spans="3:20" x14ac:dyDescent="0.25">
      <c r="C19" s="19"/>
    </row>
    <row r="20" spans="3:20" ht="24" x14ac:dyDescent="0.25">
      <c r="L20" s="62" t="s">
        <v>139</v>
      </c>
      <c r="M20" s="62" t="s">
        <v>141</v>
      </c>
      <c r="N20" s="62" t="s">
        <v>142</v>
      </c>
      <c r="O20" s="62" t="s">
        <v>144</v>
      </c>
      <c r="P20" s="62" t="s">
        <v>143</v>
      </c>
    </row>
    <row r="21" spans="3:20" x14ac:dyDescent="0.25">
      <c r="L21" s="63">
        <v>2014</v>
      </c>
      <c r="M21" s="64">
        <v>18542.990000000002</v>
      </c>
      <c r="N21" s="64">
        <v>7882.3</v>
      </c>
      <c r="O21" s="64">
        <f>((M21+N21)/6)</f>
        <v>4404.2150000000001</v>
      </c>
      <c r="P21" s="64">
        <v>5894.96</v>
      </c>
      <c r="Q21" s="67">
        <f>(P21-O21)/P21</f>
        <v>0.25288466758044159</v>
      </c>
      <c r="R21" s="69">
        <f>P21-O21</f>
        <v>1490.7449999999999</v>
      </c>
    </row>
    <row r="22" spans="3:20" x14ac:dyDescent="0.25">
      <c r="L22" s="63">
        <v>2015</v>
      </c>
      <c r="M22" s="64">
        <v>17700.3</v>
      </c>
      <c r="N22" s="64">
        <v>7554.5</v>
      </c>
      <c r="O22" s="64">
        <f>O21*7.43%+O21</f>
        <v>4731.4481745000003</v>
      </c>
      <c r="P22" s="64">
        <v>5894.96</v>
      </c>
      <c r="Q22" s="67">
        <f>(P22-O22)/P22</f>
        <v>0.19737399838166836</v>
      </c>
      <c r="R22" s="69">
        <f>P22-O22</f>
        <v>1163.5118254999998</v>
      </c>
    </row>
    <row r="23" spans="3:20" x14ac:dyDescent="0.25">
      <c r="L23" s="63">
        <v>2016</v>
      </c>
      <c r="M23" s="64">
        <v>18745.02</v>
      </c>
      <c r="N23" s="64">
        <v>7794.33</v>
      </c>
      <c r="O23" s="64">
        <f>O22*7.43%+O22</f>
        <v>5082.99477386535</v>
      </c>
      <c r="P23" s="64">
        <v>7403.84</v>
      </c>
      <c r="Q23" s="67">
        <f>(P23-O23)/P23</f>
        <v>0.31346507030603715</v>
      </c>
      <c r="R23" s="69">
        <f>P23-O23</f>
        <v>2320.8452261346501</v>
      </c>
    </row>
    <row r="24" spans="3:20" x14ac:dyDescent="0.25">
      <c r="L24" s="63">
        <v>2017</v>
      </c>
      <c r="M24" s="64">
        <v>18045.009999999998</v>
      </c>
      <c r="N24" s="64">
        <v>8279.82</v>
      </c>
      <c r="O24" s="64">
        <f>O23*7.43%+O23</f>
        <v>5460.6612855635458</v>
      </c>
      <c r="P24" s="64">
        <v>7403.84</v>
      </c>
      <c r="Q24" s="67">
        <f>(P24-O24)/P24</f>
        <v>0.26245552502977565</v>
      </c>
      <c r="R24" s="69">
        <f>P24-O24</f>
        <v>1943.1787144364544</v>
      </c>
    </row>
    <row r="25" spans="3:20" x14ac:dyDescent="0.25">
      <c r="L25" s="63">
        <v>2018</v>
      </c>
      <c r="M25" s="64">
        <v>19890.47</v>
      </c>
      <c r="N25" s="64">
        <v>8920.9</v>
      </c>
      <c r="O25" s="64">
        <f>O24*7.43%+O24</f>
        <v>5866.3884190809167</v>
      </c>
      <c r="P25" s="64">
        <v>7403.84</v>
      </c>
      <c r="Q25" s="67">
        <f>(P25-O25)/P25</f>
        <v>0.20765597053948809</v>
      </c>
      <c r="R25" s="69">
        <f>P25-O25</f>
        <v>1537.4515809190834</v>
      </c>
    </row>
    <row r="26" spans="3:20" x14ac:dyDescent="0.25">
      <c r="N26" s="66"/>
      <c r="O26" s="64">
        <f>O25*7.43%+O25</f>
        <v>6302.2610786186287</v>
      </c>
      <c r="P26" s="64">
        <v>7403.84</v>
      </c>
      <c r="Q26" s="35">
        <f>AVERAGE(Q21:Q25)</f>
        <v>0.24676704636748217</v>
      </c>
      <c r="R26" s="52">
        <f>AVERAGE(R21:R25)</f>
        <v>1691.1464693980374</v>
      </c>
    </row>
    <row r="27" spans="3:20" x14ac:dyDescent="0.25">
      <c r="L27" s="252" t="s">
        <v>268</v>
      </c>
      <c r="M27" s="66">
        <f>(M25/M21)^0.25</f>
        <v>1.0176919056612221</v>
      </c>
      <c r="N27" s="66">
        <f>(N25/N21)^0.25</f>
        <v>1.0314280256769719</v>
      </c>
      <c r="O27" s="66">
        <f>(O25/O21)^0.25</f>
        <v>1.0743</v>
      </c>
      <c r="P27" s="66">
        <f>(P25/P21)^0.25</f>
        <v>1.0586296185114008</v>
      </c>
    </row>
    <row r="28" spans="3:20" x14ac:dyDescent="0.25">
      <c r="L28" s="252"/>
      <c r="M28" s="67">
        <f>M27-1</f>
        <v>1.769190566122214E-2</v>
      </c>
      <c r="N28" s="67">
        <f>N27-1</f>
        <v>3.1428025676971894E-2</v>
      </c>
      <c r="O28" s="67">
        <f>O27-1</f>
        <v>7.4300000000000033E-2</v>
      </c>
      <c r="P28" s="67">
        <f>P27-1</f>
        <v>5.8629618511400805E-2</v>
      </c>
      <c r="Q28" s="114">
        <f>(P23-P22)/P22</f>
        <v>0.25596102433265028</v>
      </c>
    </row>
    <row r="29" spans="3:20" x14ac:dyDescent="0.25">
      <c r="M29" s="64">
        <f>M21-(M21*M28)</f>
        <v>18214.929170243016</v>
      </c>
      <c r="N29" s="64">
        <f>N21-(N21*N28)</f>
        <v>7634.5748732064048</v>
      </c>
      <c r="O29" s="64">
        <f>O21-(O21*O28)</f>
        <v>4076.9818255</v>
      </c>
      <c r="P29" s="64">
        <f>P21-(P21*P28)</f>
        <v>5549.3407440600331</v>
      </c>
    </row>
    <row r="30" spans="3:20" x14ac:dyDescent="0.25">
      <c r="L30" s="65" t="s">
        <v>140</v>
      </c>
      <c r="O30" s="64"/>
      <c r="T30" s="69"/>
    </row>
    <row r="31" spans="3:20" x14ac:dyDescent="0.25">
      <c r="L31" t="s">
        <v>269</v>
      </c>
      <c r="M31" s="66">
        <f>AVERAGE(M21:M25)</f>
        <v>18584.757999999998</v>
      </c>
      <c r="N31" s="66">
        <f>AVERAGE(N21:N25)</f>
        <v>8086.37</v>
      </c>
      <c r="O31" s="66">
        <f>AVERAGE(O21:O25)</f>
        <v>5109.1415306019626</v>
      </c>
      <c r="P31" s="66">
        <f>AVERAGE(P21:P25)</f>
        <v>6800.2880000000005</v>
      </c>
      <c r="Q31" s="137">
        <v>9164</v>
      </c>
      <c r="R31" s="114">
        <f>(Q31-P26)/P26</f>
        <v>0.23773609370272722</v>
      </c>
    </row>
    <row r="32" spans="3:20" x14ac:dyDescent="0.25">
      <c r="L32" t="s">
        <v>270</v>
      </c>
      <c r="M32">
        <f>SLOPE(M21:M25,$L$21:$L$25)</f>
        <v>303.96699999999981</v>
      </c>
      <c r="N32">
        <f>SLOPE(N21:N25,$L$21:$L$25)</f>
        <v>280.25199999999984</v>
      </c>
      <c r="O32">
        <f>SLOPE(O21:O25,$L$21:$L$25)</f>
        <v>365.35599492253789</v>
      </c>
      <c r="P32">
        <f>SLOPE(P21:P25,$L$21:$L$25)</f>
        <v>452.66400000000004</v>
      </c>
      <c r="Q32">
        <v>10763</v>
      </c>
      <c r="R32" s="114">
        <f>(Q32-Q31)/Q31</f>
        <v>0.17448712352684417</v>
      </c>
    </row>
    <row r="33" spans="8:47" x14ac:dyDescent="0.25">
      <c r="L33" t="s">
        <v>271</v>
      </c>
      <c r="M33" s="67">
        <f>M32/M31</f>
        <v>1.6355714720632891E-2</v>
      </c>
      <c r="N33" s="67">
        <f>N32/N31</f>
        <v>3.4657330792432182E-2</v>
      </c>
      <c r="O33" s="67">
        <f>O32/O31</f>
        <v>7.1510251327778621E-2</v>
      </c>
      <c r="P33" s="67">
        <f>P32/P31</f>
        <v>6.6565416052967175E-2</v>
      </c>
    </row>
    <row r="34" spans="8:47" ht="19.5" thickBot="1" x14ac:dyDescent="0.35">
      <c r="N34" s="66"/>
      <c r="O34" s="68"/>
      <c r="P34" s="68"/>
      <c r="T34" s="28"/>
      <c r="U34" s="104" t="s">
        <v>176</v>
      </c>
      <c r="V34" s="104"/>
      <c r="W34" s="105"/>
      <c r="X34" s="105"/>
      <c r="Y34" s="105"/>
      <c r="Z34" s="105"/>
      <c r="AA34" s="105"/>
      <c r="AB34" s="104" t="s">
        <v>177</v>
      </c>
      <c r="AC34" s="106"/>
      <c r="AD34" s="28"/>
      <c r="AE34" s="28"/>
      <c r="AF34" s="28"/>
      <c r="AG34" s="28"/>
      <c r="AH34" s="28"/>
      <c r="AI34" s="104" t="s">
        <v>180</v>
      </c>
      <c r="AJ34" s="104"/>
      <c r="AK34" s="105"/>
      <c r="AL34" s="105"/>
      <c r="AM34" s="105"/>
      <c r="AN34" s="105"/>
      <c r="AO34" s="105"/>
      <c r="AP34" s="104" t="s">
        <v>182</v>
      </c>
      <c r="AQ34" s="106"/>
      <c r="AR34" s="28"/>
      <c r="AS34" s="28"/>
      <c r="AT34" s="28"/>
      <c r="AU34" s="28"/>
    </row>
    <row r="35" spans="8:47" ht="26.25" thickBot="1" x14ac:dyDescent="0.3">
      <c r="H35" t="s">
        <v>133</v>
      </c>
      <c r="I35" s="35">
        <v>0.7833</v>
      </c>
      <c r="N35" s="67"/>
      <c r="O35" s="68"/>
      <c r="P35" s="68"/>
      <c r="U35" s="88" t="s">
        <v>173</v>
      </c>
      <c r="V35" s="92" t="s">
        <v>100</v>
      </c>
      <c r="W35" s="92" t="s">
        <v>101</v>
      </c>
      <c r="X35" s="92" t="s">
        <v>102</v>
      </c>
      <c r="Y35" s="92" t="s">
        <v>103</v>
      </c>
      <c r="Z35" s="92" t="s">
        <v>104</v>
      </c>
      <c r="AB35" s="88" t="s">
        <v>173</v>
      </c>
      <c r="AC35" s="92" t="s">
        <v>100</v>
      </c>
      <c r="AD35" s="92" t="s">
        <v>101</v>
      </c>
      <c r="AE35" s="92" t="s">
        <v>102</v>
      </c>
      <c r="AF35" s="92" t="s">
        <v>103</v>
      </c>
      <c r="AG35" s="92" t="s">
        <v>104</v>
      </c>
      <c r="AI35" s="88" t="s">
        <v>173</v>
      </c>
      <c r="AJ35" s="92" t="s">
        <v>100</v>
      </c>
      <c r="AK35" s="92" t="s">
        <v>101</v>
      </c>
      <c r="AL35" s="92" t="s">
        <v>102</v>
      </c>
      <c r="AM35" s="92" t="s">
        <v>103</v>
      </c>
      <c r="AN35" s="92" t="s">
        <v>104</v>
      </c>
      <c r="AP35" s="88" t="s">
        <v>173</v>
      </c>
      <c r="AQ35" s="92" t="s">
        <v>100</v>
      </c>
      <c r="AR35" s="92" t="s">
        <v>101</v>
      </c>
      <c r="AS35" s="92" t="s">
        <v>102</v>
      </c>
      <c r="AT35" s="92" t="s">
        <v>103</v>
      </c>
      <c r="AU35" s="92" t="s">
        <v>104</v>
      </c>
    </row>
    <row r="36" spans="8:47" x14ac:dyDescent="0.25">
      <c r="H36" t="s">
        <v>132</v>
      </c>
      <c r="I36" s="35">
        <v>0.21629999999999999</v>
      </c>
      <c r="U36" s="89" t="s">
        <v>100</v>
      </c>
      <c r="V36" s="99"/>
      <c r="W36" s="96">
        <v>247996</v>
      </c>
      <c r="X36" s="96">
        <v>495995</v>
      </c>
      <c r="Y36" s="96">
        <v>892785</v>
      </c>
      <c r="Z36" s="96">
        <v>1190371</v>
      </c>
      <c r="AB36" s="89" t="s">
        <v>100</v>
      </c>
      <c r="AC36" s="99"/>
      <c r="AD36" s="96">
        <v>198397</v>
      </c>
      <c r="AE36" s="96">
        <v>238080</v>
      </c>
      <c r="AF36" s="96">
        <v>436470</v>
      </c>
      <c r="AG36" s="96">
        <v>615029</v>
      </c>
      <c r="AI36" s="89" t="s">
        <v>100</v>
      </c>
      <c r="AJ36" s="99"/>
      <c r="AK36" s="96">
        <v>371991</v>
      </c>
      <c r="AL36" s="96">
        <v>743990</v>
      </c>
      <c r="AM36" s="96">
        <v>1339177</v>
      </c>
      <c r="AN36" s="96">
        <v>1785558</v>
      </c>
      <c r="AP36" s="89" t="s">
        <v>100</v>
      </c>
      <c r="AQ36" s="99"/>
      <c r="AR36" s="96">
        <v>258780</v>
      </c>
      <c r="AS36" s="96">
        <v>310533</v>
      </c>
      <c r="AT36" s="96">
        <v>569307</v>
      </c>
      <c r="AU36" s="96">
        <v>802207</v>
      </c>
    </row>
    <row r="37" spans="8:47" x14ac:dyDescent="0.25">
      <c r="U37" s="90" t="s">
        <v>101</v>
      </c>
      <c r="V37" s="96">
        <v>247996</v>
      </c>
      <c r="W37" s="100"/>
      <c r="X37" s="96">
        <v>495995</v>
      </c>
      <c r="Y37" s="96">
        <v>892785</v>
      </c>
      <c r="Z37" s="96">
        <v>1190371</v>
      </c>
      <c r="AB37" s="90" t="s">
        <v>101</v>
      </c>
      <c r="AC37" s="96">
        <v>198397</v>
      </c>
      <c r="AD37" s="100"/>
      <c r="AE37" s="96">
        <v>238080</v>
      </c>
      <c r="AF37" s="96">
        <v>436470</v>
      </c>
      <c r="AG37" s="96">
        <v>615029</v>
      </c>
      <c r="AI37" s="90" t="s">
        <v>101</v>
      </c>
      <c r="AJ37" s="96">
        <v>371991</v>
      </c>
      <c r="AK37" s="100"/>
      <c r="AL37" s="96">
        <v>743990</v>
      </c>
      <c r="AM37" s="96">
        <v>1339177</v>
      </c>
      <c r="AN37" s="96">
        <v>1785558</v>
      </c>
      <c r="AP37" s="90" t="s">
        <v>101</v>
      </c>
      <c r="AQ37" s="96">
        <v>258780</v>
      </c>
      <c r="AR37" s="100"/>
      <c r="AS37" s="96">
        <v>310533</v>
      </c>
      <c r="AT37" s="96">
        <v>569307</v>
      </c>
      <c r="AU37" s="96">
        <v>802207</v>
      </c>
    </row>
    <row r="38" spans="8:47" x14ac:dyDescent="0.25">
      <c r="H38" t="s">
        <v>134</v>
      </c>
      <c r="I38" s="35">
        <v>0.55910000000000004</v>
      </c>
      <c r="M38" s="61"/>
      <c r="N38" s="61"/>
      <c r="O38" s="61"/>
      <c r="U38" s="90" t="s">
        <v>102</v>
      </c>
      <c r="V38" s="96">
        <v>495995</v>
      </c>
      <c r="W38" s="96">
        <v>495995</v>
      </c>
      <c r="X38" s="100"/>
      <c r="Y38" s="96">
        <v>495995</v>
      </c>
      <c r="Z38" s="96">
        <v>892785</v>
      </c>
      <c r="AB38" s="90" t="s">
        <v>102</v>
      </c>
      <c r="AC38" s="96">
        <v>238080</v>
      </c>
      <c r="AD38" s="96">
        <v>238080</v>
      </c>
      <c r="AE38" s="100"/>
      <c r="AF38" s="96">
        <v>238080</v>
      </c>
      <c r="AG38" s="96">
        <v>436470</v>
      </c>
      <c r="AI38" s="90" t="s">
        <v>102</v>
      </c>
      <c r="AJ38" s="96">
        <v>743990</v>
      </c>
      <c r="AK38" s="96">
        <v>743990</v>
      </c>
      <c r="AL38" s="100"/>
      <c r="AM38" s="96">
        <v>743990</v>
      </c>
      <c r="AN38" s="96">
        <v>1339177</v>
      </c>
      <c r="AP38" s="90" t="s">
        <v>102</v>
      </c>
      <c r="AQ38" s="96">
        <v>310533</v>
      </c>
      <c r="AR38" s="96">
        <v>310533</v>
      </c>
      <c r="AS38" s="100"/>
      <c r="AT38" s="96">
        <v>310533</v>
      </c>
      <c r="AU38" s="96">
        <v>569307</v>
      </c>
    </row>
    <row r="39" spans="8:47" x14ac:dyDescent="0.25">
      <c r="H39" t="s">
        <v>135</v>
      </c>
      <c r="I39" s="35">
        <v>0.44090000000000001</v>
      </c>
      <c r="M39" s="61"/>
      <c r="N39" s="61"/>
      <c r="O39" s="61"/>
      <c r="U39" s="90" t="s">
        <v>103</v>
      </c>
      <c r="V39" s="96">
        <v>892785</v>
      </c>
      <c r="W39" s="96">
        <v>892785</v>
      </c>
      <c r="X39" s="96">
        <v>495995</v>
      </c>
      <c r="Y39" s="99"/>
      <c r="Z39" s="96">
        <v>495995</v>
      </c>
      <c r="AB39" s="90" t="s">
        <v>103</v>
      </c>
      <c r="AC39" s="96">
        <v>436470</v>
      </c>
      <c r="AD39" s="96">
        <v>436470</v>
      </c>
      <c r="AE39" s="96">
        <v>238080</v>
      </c>
      <c r="AF39" s="99"/>
      <c r="AG39" s="96">
        <v>238080</v>
      </c>
      <c r="AI39" s="90" t="s">
        <v>103</v>
      </c>
      <c r="AJ39" s="96">
        <v>1339177</v>
      </c>
      <c r="AK39" s="96">
        <v>1339177</v>
      </c>
      <c r="AL39" s="96">
        <v>743990</v>
      </c>
      <c r="AM39" s="99"/>
      <c r="AN39" s="96">
        <v>743990</v>
      </c>
      <c r="AP39" s="90" t="s">
        <v>103</v>
      </c>
      <c r="AQ39" s="96">
        <v>569307</v>
      </c>
      <c r="AR39" s="96">
        <v>569307</v>
      </c>
      <c r="AS39" s="96">
        <v>310533</v>
      </c>
      <c r="AT39" s="99"/>
      <c r="AU39" s="96">
        <v>310533</v>
      </c>
    </row>
    <row r="40" spans="8:47" ht="15.75" thickBot="1" x14ac:dyDescent="0.3">
      <c r="K40" s="60"/>
      <c r="U40" s="91" t="s">
        <v>104</v>
      </c>
      <c r="V40" s="98">
        <v>1190371</v>
      </c>
      <c r="W40" s="98">
        <v>1190371</v>
      </c>
      <c r="X40" s="98">
        <v>892785</v>
      </c>
      <c r="Y40" s="98">
        <v>495995</v>
      </c>
      <c r="Z40" s="101"/>
      <c r="AB40" s="91" t="s">
        <v>104</v>
      </c>
      <c r="AC40" s="98">
        <v>615029</v>
      </c>
      <c r="AD40" s="98">
        <v>615029</v>
      </c>
      <c r="AE40" s="98">
        <v>436470</v>
      </c>
      <c r="AF40" s="98">
        <v>238080</v>
      </c>
      <c r="AG40" s="101"/>
      <c r="AI40" s="91" t="s">
        <v>104</v>
      </c>
      <c r="AJ40" s="98">
        <v>1785558</v>
      </c>
      <c r="AK40" s="98">
        <v>1785558</v>
      </c>
      <c r="AL40" s="98">
        <v>1339177</v>
      </c>
      <c r="AM40" s="98">
        <v>743990</v>
      </c>
      <c r="AN40" s="101"/>
      <c r="AP40" s="91" t="s">
        <v>104</v>
      </c>
      <c r="AQ40" s="98">
        <v>802207</v>
      </c>
      <c r="AR40" s="98">
        <v>802207</v>
      </c>
      <c r="AS40" s="98">
        <v>569307</v>
      </c>
      <c r="AT40" s="98">
        <v>310533</v>
      </c>
      <c r="AU40" s="101"/>
    </row>
    <row r="41" spans="8:47" ht="18.75" x14ac:dyDescent="0.3">
      <c r="H41" t="s">
        <v>136</v>
      </c>
      <c r="I41" s="35">
        <v>0.78910000000000002</v>
      </c>
      <c r="M41" s="61"/>
      <c r="N41" s="61"/>
      <c r="O41" s="61"/>
      <c r="AI41" s="104" t="s">
        <v>178</v>
      </c>
    </row>
    <row r="42" spans="8:47" x14ac:dyDescent="0.25">
      <c r="H42" t="s">
        <v>137</v>
      </c>
      <c r="I42" s="35">
        <v>0.2109</v>
      </c>
    </row>
    <row r="46" spans="8:47" ht="15.75" x14ac:dyDescent="0.25">
      <c r="M46" s="139">
        <v>1691</v>
      </c>
    </row>
    <row r="48" spans="8:47" ht="19.5" thickBot="1" x14ac:dyDescent="0.35">
      <c r="M48" s="84" t="s">
        <v>277</v>
      </c>
      <c r="N48" s="84"/>
      <c r="O48" s="84"/>
      <c r="P48" s="84"/>
      <c r="Q48" s="84"/>
      <c r="R48" s="84"/>
      <c r="T48" s="104" t="s">
        <v>174</v>
      </c>
      <c r="U48" s="104"/>
      <c r="V48" s="105"/>
      <c r="W48" s="105"/>
      <c r="X48" s="105"/>
      <c r="Y48" s="105"/>
      <c r="Z48" s="105"/>
      <c r="AA48" s="104" t="s">
        <v>179</v>
      </c>
      <c r="AB48" s="104"/>
      <c r="AC48" s="105"/>
      <c r="AD48" s="105"/>
      <c r="AE48" s="105"/>
      <c r="AF48" s="105"/>
    </row>
    <row r="49" spans="2:39" ht="15.75" thickBot="1" x14ac:dyDescent="0.3">
      <c r="M49" s="88" t="s">
        <v>173</v>
      </c>
      <c r="N49" s="92" t="s">
        <v>100</v>
      </c>
      <c r="O49" s="92" t="s">
        <v>101</v>
      </c>
      <c r="P49" s="92" t="s">
        <v>102</v>
      </c>
      <c r="Q49" s="92" t="s">
        <v>103</v>
      </c>
      <c r="R49" s="92" t="s">
        <v>104</v>
      </c>
      <c r="T49" s="88" t="s">
        <v>173</v>
      </c>
      <c r="U49" s="92" t="s">
        <v>100</v>
      </c>
      <c r="V49" s="92" t="s">
        <v>101</v>
      </c>
      <c r="W49" s="92" t="s">
        <v>102</v>
      </c>
      <c r="X49" s="92" t="s">
        <v>103</v>
      </c>
      <c r="Y49" s="92" t="s">
        <v>104</v>
      </c>
      <c r="AA49" s="88" t="s">
        <v>173</v>
      </c>
      <c r="AB49" s="92" t="s">
        <v>100</v>
      </c>
      <c r="AC49" s="92" t="s">
        <v>101</v>
      </c>
      <c r="AD49" s="92" t="s">
        <v>102</v>
      </c>
      <c r="AE49" s="92" t="s">
        <v>103</v>
      </c>
      <c r="AF49" s="92" t="s">
        <v>104</v>
      </c>
    </row>
    <row r="50" spans="2:39" ht="15" customHeight="1" x14ac:dyDescent="0.25">
      <c r="L50" s="251"/>
      <c r="M50" s="89" t="s">
        <v>100</v>
      </c>
      <c r="N50" s="93"/>
      <c r="O50" s="93"/>
      <c r="P50" s="87">
        <v>7.4999999999999997E-2</v>
      </c>
      <c r="Q50" s="87">
        <v>0.10440000000000001</v>
      </c>
      <c r="R50" s="87">
        <v>7.6499999999999999E-2</v>
      </c>
      <c r="T50" s="89" t="s">
        <v>100</v>
      </c>
      <c r="U50" s="99"/>
      <c r="V50" s="96">
        <v>108745</v>
      </c>
      <c r="W50" s="96">
        <v>418744</v>
      </c>
      <c r="X50" s="96">
        <v>914732</v>
      </c>
      <c r="Y50" s="96">
        <v>1286713</v>
      </c>
      <c r="AA50" s="89" t="s">
        <v>100</v>
      </c>
      <c r="AB50" s="99"/>
      <c r="AC50" s="96">
        <v>177488</v>
      </c>
      <c r="AD50" s="96">
        <v>642488</v>
      </c>
      <c r="AE50" s="96">
        <v>1386472</v>
      </c>
      <c r="AF50" s="96">
        <v>1944447</v>
      </c>
    </row>
    <row r="51" spans="2:39" ht="15" customHeight="1" x14ac:dyDescent="0.25">
      <c r="L51" s="251"/>
      <c r="M51" s="90" t="s">
        <v>101</v>
      </c>
      <c r="N51" s="94"/>
      <c r="O51" s="94"/>
      <c r="P51" s="85">
        <v>3.49E-2</v>
      </c>
      <c r="Q51" s="85">
        <v>4.6399999999999997E-2</v>
      </c>
      <c r="R51" s="85">
        <v>2.35E-2</v>
      </c>
      <c r="T51" s="90" t="s">
        <v>101</v>
      </c>
      <c r="U51" s="96">
        <v>108745</v>
      </c>
      <c r="V51" s="100"/>
      <c r="W51" s="97">
        <v>418744</v>
      </c>
      <c r="X51" s="96">
        <v>914732</v>
      </c>
      <c r="Y51" s="96">
        <v>1286713</v>
      </c>
      <c r="AA51" s="90" t="s">
        <v>101</v>
      </c>
      <c r="AB51" s="96">
        <v>177488</v>
      </c>
      <c r="AC51" s="100"/>
      <c r="AD51" s="96">
        <v>642488</v>
      </c>
      <c r="AE51" s="96">
        <v>1386472</v>
      </c>
      <c r="AF51" s="96">
        <v>1944447</v>
      </c>
    </row>
    <row r="52" spans="2:39" ht="15" customHeight="1" x14ac:dyDescent="0.25">
      <c r="L52" s="251"/>
      <c r="M52" s="90" t="s">
        <v>102</v>
      </c>
      <c r="N52" s="85">
        <v>7.7200000000000005E-2</v>
      </c>
      <c r="O52" s="85">
        <v>3.61E-2</v>
      </c>
      <c r="P52" s="94"/>
      <c r="Q52" s="94"/>
      <c r="R52" s="85">
        <v>2.7199999999999998E-2</v>
      </c>
      <c r="T52" s="90" t="s">
        <v>102</v>
      </c>
      <c r="U52" s="96">
        <v>418744</v>
      </c>
      <c r="V52" s="96">
        <v>418744</v>
      </c>
      <c r="W52" s="100"/>
      <c r="X52" s="96">
        <v>418744</v>
      </c>
      <c r="Y52" s="96">
        <v>914732</v>
      </c>
      <c r="AA52" s="90" t="s">
        <v>102</v>
      </c>
      <c r="AB52" s="96">
        <v>642488</v>
      </c>
      <c r="AC52" s="96">
        <v>642488</v>
      </c>
      <c r="AD52" s="100"/>
      <c r="AE52" s="96">
        <v>642488</v>
      </c>
      <c r="AF52" s="96">
        <v>1386472</v>
      </c>
    </row>
    <row r="53" spans="2:39" ht="15" customHeight="1" x14ac:dyDescent="0.25">
      <c r="L53" s="251"/>
      <c r="M53" s="90" t="s">
        <v>103</v>
      </c>
      <c r="N53" s="85">
        <v>0.1066</v>
      </c>
      <c r="O53" s="85">
        <v>4.7500000000000001E-2</v>
      </c>
      <c r="P53" s="94"/>
      <c r="Q53" s="94"/>
      <c r="R53" s="85">
        <v>3.5999999999999997E-2</v>
      </c>
      <c r="T53" s="90" t="s">
        <v>103</v>
      </c>
      <c r="U53" s="96">
        <v>914732</v>
      </c>
      <c r="V53" s="96">
        <v>914732</v>
      </c>
      <c r="W53" s="96">
        <v>418744</v>
      </c>
      <c r="X53" s="99"/>
      <c r="Y53" s="96">
        <v>418744</v>
      </c>
      <c r="AA53" s="90" t="s">
        <v>103</v>
      </c>
      <c r="AB53" s="96">
        <v>1386472</v>
      </c>
      <c r="AC53" s="96">
        <v>1386472</v>
      </c>
      <c r="AD53" s="96">
        <v>642488</v>
      </c>
      <c r="AE53" s="99"/>
      <c r="AF53" s="96">
        <v>642488</v>
      </c>
    </row>
    <row r="54" spans="2:39" ht="15" customHeight="1" thickBot="1" x14ac:dyDescent="0.3">
      <c r="L54" s="251"/>
      <c r="M54" s="91" t="s">
        <v>104</v>
      </c>
      <c r="N54" s="86">
        <v>7.4999999999999997E-2</v>
      </c>
      <c r="O54" s="86">
        <v>1.6199999999999999E-2</v>
      </c>
      <c r="P54" s="86">
        <v>2.6499999999999999E-2</v>
      </c>
      <c r="Q54" s="86">
        <v>3.09E-2</v>
      </c>
      <c r="R54" s="95"/>
      <c r="T54" s="91" t="s">
        <v>104</v>
      </c>
      <c r="U54" s="98">
        <v>1286713</v>
      </c>
      <c r="V54" s="98">
        <v>1286713</v>
      </c>
      <c r="W54" s="98">
        <v>914732</v>
      </c>
      <c r="X54" s="98">
        <v>418744</v>
      </c>
      <c r="Y54" s="101"/>
      <c r="AA54" s="91" t="s">
        <v>104</v>
      </c>
      <c r="AB54" s="98">
        <v>1944447</v>
      </c>
      <c r="AC54" s="98">
        <v>1944447</v>
      </c>
      <c r="AD54" s="98">
        <v>1386472</v>
      </c>
      <c r="AE54" s="98">
        <v>642488</v>
      </c>
      <c r="AF54" s="101"/>
    </row>
    <row r="55" spans="2:39" ht="15" customHeight="1" x14ac:dyDescent="0.3">
      <c r="L55" s="70"/>
      <c r="M55" s="83"/>
      <c r="N55" s="103"/>
      <c r="O55" s="103"/>
      <c r="P55" s="103"/>
      <c r="Q55" s="103"/>
      <c r="R55" s="243">
        <f>SUM(N50:R54)</f>
        <v>0.83989999999999998</v>
      </c>
      <c r="S55" s="28"/>
      <c r="T55" s="83"/>
      <c r="U55" s="102"/>
      <c r="V55" s="102"/>
      <c r="W55" s="102"/>
      <c r="X55" s="102"/>
      <c r="Y55" s="102"/>
      <c r="Z55" s="28"/>
      <c r="AA55" s="105"/>
      <c r="AI55" s="102"/>
      <c r="AJ55" s="102"/>
      <c r="AK55" s="102"/>
      <c r="AL55" s="102"/>
      <c r="AM55" s="102"/>
    </row>
    <row r="56" spans="2:39" ht="19.5" thickBot="1" x14ac:dyDescent="0.35">
      <c r="M56" s="141" t="s">
        <v>278</v>
      </c>
      <c r="N56" s="141"/>
      <c r="O56" s="141"/>
      <c r="P56" s="28"/>
      <c r="Q56" s="28"/>
      <c r="R56" s="28"/>
      <c r="T56" s="104" t="s">
        <v>175</v>
      </c>
      <c r="AA56" s="104" t="s">
        <v>181</v>
      </c>
    </row>
    <row r="57" spans="2:39" ht="15" customHeight="1" thickBot="1" x14ac:dyDescent="0.3">
      <c r="M57" s="88" t="s">
        <v>173</v>
      </c>
      <c r="N57" s="92" t="s">
        <v>100</v>
      </c>
      <c r="O57" s="92" t="s">
        <v>101</v>
      </c>
      <c r="P57" s="92" t="s">
        <v>102</v>
      </c>
      <c r="Q57" s="92" t="s">
        <v>103</v>
      </c>
      <c r="R57" s="92" t="s">
        <v>104</v>
      </c>
      <c r="T57" s="88" t="s">
        <v>173</v>
      </c>
      <c r="U57" s="92" t="s">
        <v>100</v>
      </c>
      <c r="V57" s="92" t="s">
        <v>101</v>
      </c>
      <c r="W57" s="92" t="s">
        <v>102</v>
      </c>
      <c r="X57" s="92" t="s">
        <v>103</v>
      </c>
      <c r="Y57" s="92" t="s">
        <v>104</v>
      </c>
      <c r="AA57" s="88" t="s">
        <v>173</v>
      </c>
      <c r="AB57" s="92" t="s">
        <v>100</v>
      </c>
      <c r="AC57" s="92" t="s">
        <v>101</v>
      </c>
      <c r="AD57" s="92" t="s">
        <v>102</v>
      </c>
      <c r="AE57" s="92" t="s">
        <v>103</v>
      </c>
      <c r="AF57" s="92" t="s">
        <v>104</v>
      </c>
    </row>
    <row r="58" spans="2:39" ht="15" customHeight="1" x14ac:dyDescent="0.25">
      <c r="M58" s="89" t="s">
        <v>100</v>
      </c>
      <c r="N58" s="23">
        <f>N50*$M$46</f>
        <v>0</v>
      </c>
      <c r="O58" s="23">
        <f>O50*$M$46</f>
        <v>0</v>
      </c>
      <c r="P58" s="23">
        <f>P50*$M$46</f>
        <v>126.82499999999999</v>
      </c>
      <c r="Q58" s="23">
        <f>Q50*$M$46</f>
        <v>176.54040000000001</v>
      </c>
      <c r="R58" s="23">
        <f>R50*$M$46</f>
        <v>129.36150000000001</v>
      </c>
      <c r="T58" s="89" t="s">
        <v>100</v>
      </c>
      <c r="U58" s="99"/>
      <c r="V58" s="96">
        <v>104246</v>
      </c>
      <c r="W58" s="96">
        <v>153850</v>
      </c>
      <c r="X58" s="96">
        <v>401837</v>
      </c>
      <c r="Y58" s="96">
        <v>625037</v>
      </c>
      <c r="AA58" s="89" t="s">
        <v>100</v>
      </c>
      <c r="AB58" s="99"/>
      <c r="AC58" s="96">
        <v>108475</v>
      </c>
      <c r="AD58" s="96">
        <v>642488</v>
      </c>
      <c r="AE58" s="96">
        <v>1386472</v>
      </c>
      <c r="AF58" s="96">
        <v>1944447</v>
      </c>
    </row>
    <row r="59" spans="2:39" ht="15" customHeight="1" thickBot="1" x14ac:dyDescent="0.3">
      <c r="M59" s="90" t="s">
        <v>101</v>
      </c>
      <c r="N59" s="23">
        <f>N51*$M$46</f>
        <v>0</v>
      </c>
      <c r="O59" s="4"/>
      <c r="P59" s="23">
        <f t="shared" ref="P59:R62" si="0">P51*$M$46</f>
        <v>59.015900000000002</v>
      </c>
      <c r="Q59" s="23">
        <f t="shared" si="0"/>
        <v>78.462399999999988</v>
      </c>
      <c r="R59" s="23">
        <f t="shared" si="0"/>
        <v>39.738500000000002</v>
      </c>
      <c r="T59" s="90" t="s">
        <v>101</v>
      </c>
      <c r="U59" s="96">
        <v>104246</v>
      </c>
      <c r="V59" s="100"/>
      <c r="W59" s="96">
        <v>153850</v>
      </c>
      <c r="X59" s="96">
        <v>401837</v>
      </c>
      <c r="Y59" s="96">
        <v>625037</v>
      </c>
      <c r="AA59" s="90" t="s">
        <v>101</v>
      </c>
      <c r="AB59" s="96">
        <v>108475</v>
      </c>
      <c r="AC59" s="100"/>
      <c r="AD59" s="96">
        <v>642488</v>
      </c>
      <c r="AE59" s="96">
        <v>1386472</v>
      </c>
      <c r="AF59" s="96">
        <v>1944447</v>
      </c>
    </row>
    <row r="60" spans="2:39" ht="15" customHeight="1" thickTop="1" thickBot="1" x14ac:dyDescent="0.3">
      <c r="B60" s="248" t="s">
        <v>145</v>
      </c>
      <c r="C60" s="71" t="s">
        <v>146</v>
      </c>
      <c r="D60" s="248" t="s">
        <v>148</v>
      </c>
      <c r="E60" s="250" t="s">
        <v>149</v>
      </c>
      <c r="F60" s="250"/>
      <c r="M60" s="90" t="s">
        <v>102</v>
      </c>
      <c r="N60" s="23">
        <f>N52*$M$46</f>
        <v>130.54519999999999</v>
      </c>
      <c r="O60" s="23">
        <f>O52*$M$46</f>
        <v>61.045099999999998</v>
      </c>
      <c r="P60" s="23">
        <f t="shared" si="0"/>
        <v>0</v>
      </c>
      <c r="Q60" s="23">
        <f t="shared" si="0"/>
        <v>0</v>
      </c>
      <c r="R60" s="23">
        <f t="shared" si="0"/>
        <v>45.995199999999997</v>
      </c>
      <c r="T60" s="90" t="s">
        <v>102</v>
      </c>
      <c r="U60" s="96">
        <v>153850</v>
      </c>
      <c r="V60" s="96">
        <v>153850</v>
      </c>
      <c r="W60" s="100"/>
      <c r="X60" s="96">
        <v>153850</v>
      </c>
      <c r="Y60" s="96">
        <v>401837</v>
      </c>
      <c r="AA60" s="90" t="s">
        <v>102</v>
      </c>
      <c r="AB60" s="96">
        <v>642488</v>
      </c>
      <c r="AC60" s="96">
        <v>642488</v>
      </c>
      <c r="AD60" s="100"/>
      <c r="AE60" s="96">
        <v>642488</v>
      </c>
      <c r="AF60" s="96">
        <v>1386472</v>
      </c>
    </row>
    <row r="61" spans="2:39" ht="15" customHeight="1" thickTop="1" thickBot="1" x14ac:dyDescent="0.3">
      <c r="B61" s="249"/>
      <c r="C61" s="72" t="s">
        <v>147</v>
      </c>
      <c r="D61" s="249"/>
      <c r="E61" s="72" t="s">
        <v>150</v>
      </c>
      <c r="F61" s="72" t="s">
        <v>151</v>
      </c>
      <c r="M61" s="90" t="s">
        <v>103</v>
      </c>
      <c r="N61" s="23">
        <f>N53*$M$46</f>
        <v>180.26060000000001</v>
      </c>
      <c r="O61" s="23">
        <f>O53*$M$46</f>
        <v>80.322500000000005</v>
      </c>
      <c r="P61" s="23">
        <f t="shared" si="0"/>
        <v>0</v>
      </c>
      <c r="Q61" s="23">
        <f t="shared" si="0"/>
        <v>0</v>
      </c>
      <c r="R61" s="23">
        <f t="shared" si="0"/>
        <v>60.875999999999998</v>
      </c>
      <c r="T61" s="90" t="s">
        <v>103</v>
      </c>
      <c r="U61" s="96">
        <v>401837</v>
      </c>
      <c r="V61" s="96">
        <v>401837</v>
      </c>
      <c r="W61" s="96">
        <v>153850</v>
      </c>
      <c r="X61" s="99"/>
      <c r="Y61" s="96">
        <v>153850</v>
      </c>
      <c r="AA61" s="90" t="s">
        <v>103</v>
      </c>
      <c r="AB61" s="96">
        <v>1386472</v>
      </c>
      <c r="AC61" s="96">
        <v>1386472</v>
      </c>
      <c r="AD61" s="96">
        <v>642488</v>
      </c>
      <c r="AE61" s="99"/>
      <c r="AF61" s="96">
        <v>642488</v>
      </c>
    </row>
    <row r="62" spans="2:39" ht="30" customHeight="1" thickTop="1" thickBot="1" x14ac:dyDescent="0.3">
      <c r="B62" s="73" t="s">
        <v>152</v>
      </c>
      <c r="C62" s="73" t="s">
        <v>153</v>
      </c>
      <c r="D62" s="74" t="s">
        <v>154</v>
      </c>
      <c r="E62" s="240">
        <v>161737</v>
      </c>
      <c r="F62" s="240">
        <v>170000</v>
      </c>
      <c r="M62" s="91" t="s">
        <v>104</v>
      </c>
      <c r="N62" s="23">
        <f>N54*$M$46</f>
        <v>126.82499999999999</v>
      </c>
      <c r="O62" s="23">
        <f>O54*$M$46</f>
        <v>27.394199999999998</v>
      </c>
      <c r="P62" s="23">
        <f t="shared" si="0"/>
        <v>44.811499999999995</v>
      </c>
      <c r="Q62" s="23">
        <f t="shared" si="0"/>
        <v>52.251899999999999</v>
      </c>
      <c r="R62" s="23">
        <f t="shared" si="0"/>
        <v>0</v>
      </c>
      <c r="T62" s="91" t="s">
        <v>104</v>
      </c>
      <c r="U62" s="98">
        <v>625037</v>
      </c>
      <c r="V62" s="98">
        <v>625037</v>
      </c>
      <c r="W62" s="98">
        <v>625037</v>
      </c>
      <c r="X62" s="98">
        <v>153850</v>
      </c>
      <c r="Y62" s="101"/>
      <c r="AA62" s="91" t="s">
        <v>104</v>
      </c>
      <c r="AB62" s="98">
        <v>1944447</v>
      </c>
      <c r="AC62" s="98">
        <v>1944447</v>
      </c>
      <c r="AD62" s="98">
        <v>1386472</v>
      </c>
      <c r="AE62" s="98">
        <v>642488</v>
      </c>
      <c r="AF62" s="101"/>
      <c r="AG62" s="102"/>
    </row>
    <row r="63" spans="2:39" ht="30" customHeight="1" thickBot="1" x14ac:dyDescent="0.3">
      <c r="B63" s="75" t="s">
        <v>155</v>
      </c>
      <c r="C63" s="79" t="s">
        <v>170</v>
      </c>
      <c r="D63" s="76" t="s">
        <v>156</v>
      </c>
      <c r="E63" s="241">
        <v>80868</v>
      </c>
      <c r="F63" s="241">
        <v>100667</v>
      </c>
      <c r="T63" s="83"/>
      <c r="U63" s="102"/>
      <c r="V63" s="102"/>
      <c r="W63" s="102"/>
      <c r="X63" s="102"/>
      <c r="Y63" s="102"/>
    </row>
    <row r="64" spans="2:39" ht="38.25" customHeight="1" thickBot="1" x14ac:dyDescent="0.35">
      <c r="B64" s="73" t="s">
        <v>157</v>
      </c>
      <c r="C64" s="80" t="s">
        <v>171</v>
      </c>
      <c r="D64" s="74" t="s">
        <v>158</v>
      </c>
      <c r="E64" s="240">
        <v>75478</v>
      </c>
      <c r="F64" s="240">
        <v>99917</v>
      </c>
      <c r="M64" s="104" t="s">
        <v>283</v>
      </c>
      <c r="N64" s="104"/>
      <c r="O64" s="105"/>
      <c r="P64" s="105"/>
      <c r="Q64" s="105"/>
      <c r="R64" s="105"/>
      <c r="T64" s="104" t="s">
        <v>279</v>
      </c>
      <c r="U64" s="104"/>
      <c r="V64" s="105"/>
      <c r="W64" s="105"/>
      <c r="X64" s="105"/>
      <c r="Y64" s="105"/>
      <c r="Z64" s="105"/>
      <c r="AA64" s="104" t="s">
        <v>281</v>
      </c>
    </row>
    <row r="65" spans="2:33" ht="30" customHeight="1" thickBot="1" x14ac:dyDescent="0.3">
      <c r="B65" s="75" t="s">
        <v>159</v>
      </c>
      <c r="C65" s="81" t="s">
        <v>172</v>
      </c>
      <c r="D65" s="76" t="s">
        <v>160</v>
      </c>
      <c r="E65" s="241">
        <v>50318</v>
      </c>
      <c r="F65" s="241">
        <v>76667</v>
      </c>
      <c r="M65" s="88" t="s">
        <v>173</v>
      </c>
      <c r="N65" s="92" t="s">
        <v>100</v>
      </c>
      <c r="O65" s="92" t="s">
        <v>101</v>
      </c>
      <c r="P65" s="92" t="s">
        <v>102</v>
      </c>
      <c r="Q65" s="92" t="s">
        <v>103</v>
      </c>
      <c r="R65" s="92" t="s">
        <v>104</v>
      </c>
      <c r="T65" s="88" t="s">
        <v>173</v>
      </c>
      <c r="U65" s="92" t="s">
        <v>100</v>
      </c>
      <c r="V65" s="92" t="s">
        <v>101</v>
      </c>
      <c r="W65" s="92" t="s">
        <v>102</v>
      </c>
      <c r="X65" s="92" t="s">
        <v>103</v>
      </c>
      <c r="Y65" s="92" t="s">
        <v>104</v>
      </c>
      <c r="AA65" s="88" t="s">
        <v>173</v>
      </c>
      <c r="AB65" s="92" t="s">
        <v>100</v>
      </c>
      <c r="AC65" s="92" t="s">
        <v>101</v>
      </c>
      <c r="AD65" s="92" t="s">
        <v>102</v>
      </c>
      <c r="AE65" s="92" t="s">
        <v>103</v>
      </c>
      <c r="AF65" s="92" t="s">
        <v>104</v>
      </c>
    </row>
    <row r="66" spans="2:33" ht="30" customHeight="1" thickBot="1" x14ac:dyDescent="0.3">
      <c r="B66" s="73" t="s">
        <v>161</v>
      </c>
      <c r="C66" s="82" t="s">
        <v>162</v>
      </c>
      <c r="D66" s="74" t="s">
        <v>163</v>
      </c>
      <c r="E66" s="240">
        <v>45286</v>
      </c>
      <c r="F66" s="240">
        <v>59000</v>
      </c>
      <c r="M66" s="89" t="s">
        <v>100</v>
      </c>
      <c r="N66" s="96">
        <f t="shared" ref="N66:R70" si="1">N58*78.91%</f>
        <v>0</v>
      </c>
      <c r="O66" s="96">
        <f t="shared" si="1"/>
        <v>0</v>
      </c>
      <c r="P66" s="96">
        <f t="shared" si="1"/>
        <v>100.07760749999998</v>
      </c>
      <c r="Q66" s="96">
        <f t="shared" si="1"/>
        <v>139.30802964</v>
      </c>
      <c r="R66" s="96">
        <f t="shared" si="1"/>
        <v>102.07915964999999</v>
      </c>
      <c r="T66" s="89" t="s">
        <v>100</v>
      </c>
      <c r="U66" s="96">
        <f t="shared" ref="U66:Y70" si="2">N66*72.28%</f>
        <v>0</v>
      </c>
      <c r="V66" s="96">
        <f t="shared" si="2"/>
        <v>0</v>
      </c>
      <c r="W66" s="96">
        <f t="shared" si="2"/>
        <v>72.336094700999993</v>
      </c>
      <c r="X66" s="96">
        <f t="shared" si="2"/>
        <v>100.691843823792</v>
      </c>
      <c r="Y66" s="96">
        <f t="shared" si="2"/>
        <v>73.782816595019995</v>
      </c>
      <c r="AA66" s="89" t="s">
        <v>100</v>
      </c>
      <c r="AB66" s="96">
        <f t="shared" ref="AB66:AF70" si="3">N74*74.22%</f>
        <v>0</v>
      </c>
      <c r="AC66" s="96">
        <f t="shared" si="3"/>
        <v>0</v>
      </c>
      <c r="AD66" s="96">
        <f t="shared" si="3"/>
        <v>19.851914713499998</v>
      </c>
      <c r="AE66" s="96">
        <f t="shared" si="3"/>
        <v>27.633865281192001</v>
      </c>
      <c r="AF66" s="96">
        <f t="shared" si="3"/>
        <v>20.248953007770002</v>
      </c>
    </row>
    <row r="67" spans="2:33" ht="30" customHeight="1" thickBot="1" x14ac:dyDescent="0.3">
      <c r="B67" s="75" t="s">
        <v>164</v>
      </c>
      <c r="C67" s="75" t="s">
        <v>165</v>
      </c>
      <c r="D67" s="76" t="s">
        <v>166</v>
      </c>
      <c r="E67" s="241">
        <v>42698</v>
      </c>
      <c r="F67" s="241">
        <v>43767</v>
      </c>
      <c r="M67" s="90" t="s">
        <v>101</v>
      </c>
      <c r="N67" s="96">
        <f t="shared" si="1"/>
        <v>0</v>
      </c>
      <c r="O67" s="96">
        <f t="shared" si="1"/>
        <v>0</v>
      </c>
      <c r="P67" s="96">
        <f t="shared" si="1"/>
        <v>46.569446689999999</v>
      </c>
      <c r="Q67" s="96">
        <f t="shared" si="1"/>
        <v>61.914679839999984</v>
      </c>
      <c r="R67" s="96">
        <f t="shared" si="1"/>
        <v>31.357650349999997</v>
      </c>
      <c r="T67" s="90" t="s">
        <v>101</v>
      </c>
      <c r="U67" s="96">
        <f t="shared" si="2"/>
        <v>0</v>
      </c>
      <c r="V67" s="96">
        <f t="shared" si="2"/>
        <v>0</v>
      </c>
      <c r="W67" s="96">
        <f t="shared" si="2"/>
        <v>33.660396067531998</v>
      </c>
      <c r="X67" s="96">
        <f t="shared" si="2"/>
        <v>44.751930588351989</v>
      </c>
      <c r="Y67" s="96">
        <f t="shared" si="2"/>
        <v>22.665309672979998</v>
      </c>
      <c r="AA67" s="90" t="s">
        <v>101</v>
      </c>
      <c r="AB67" s="96">
        <f t="shared" si="3"/>
        <v>0</v>
      </c>
      <c r="AC67" s="96">
        <f t="shared" si="3"/>
        <v>0</v>
      </c>
      <c r="AD67" s="96">
        <f t="shared" si="3"/>
        <v>9.2377576466820006</v>
      </c>
      <c r="AE67" s="96">
        <f t="shared" si="3"/>
        <v>12.281717902751998</v>
      </c>
      <c r="AF67" s="96">
        <f t="shared" si="3"/>
        <v>6.2202666102299995</v>
      </c>
    </row>
    <row r="68" spans="2:33" ht="30" customHeight="1" thickBot="1" x14ac:dyDescent="0.3">
      <c r="B68" s="77" t="s">
        <v>167</v>
      </c>
      <c r="C68" s="77" t="s">
        <v>168</v>
      </c>
      <c r="D68" s="78" t="s">
        <v>169</v>
      </c>
      <c r="E68" s="242">
        <v>37954</v>
      </c>
      <c r="F68" s="242">
        <v>24417</v>
      </c>
      <c r="M68" s="90" t="s">
        <v>102</v>
      </c>
      <c r="N68" s="96">
        <f t="shared" si="1"/>
        <v>103.01321731999998</v>
      </c>
      <c r="O68" s="96">
        <f t="shared" si="1"/>
        <v>48.17068840999999</v>
      </c>
      <c r="P68" s="96">
        <f t="shared" si="1"/>
        <v>0</v>
      </c>
      <c r="Q68" s="96">
        <f t="shared" si="1"/>
        <v>0</v>
      </c>
      <c r="R68" s="96">
        <f t="shared" si="1"/>
        <v>36.294812319999991</v>
      </c>
      <c r="T68" s="90" t="s">
        <v>102</v>
      </c>
      <c r="U68" s="96">
        <f t="shared" si="2"/>
        <v>74.457953478895988</v>
      </c>
      <c r="V68" s="96">
        <f t="shared" si="2"/>
        <v>34.817773582747989</v>
      </c>
      <c r="W68" s="96">
        <f t="shared" si="2"/>
        <v>0</v>
      </c>
      <c r="X68" s="96">
        <f t="shared" si="2"/>
        <v>0</v>
      </c>
      <c r="Y68" s="96">
        <f t="shared" si="2"/>
        <v>26.233890344895993</v>
      </c>
      <c r="AA68" s="90" t="s">
        <v>102</v>
      </c>
      <c r="AB68" s="96">
        <f t="shared" si="3"/>
        <v>20.434237545096</v>
      </c>
      <c r="AC68" s="96">
        <f t="shared" si="3"/>
        <v>9.555388282097999</v>
      </c>
      <c r="AD68" s="96">
        <f t="shared" si="3"/>
        <v>0</v>
      </c>
      <c r="AE68" s="96">
        <f t="shared" si="3"/>
        <v>0</v>
      </c>
      <c r="AF68" s="96">
        <f t="shared" si="3"/>
        <v>7.1996277360959997</v>
      </c>
    </row>
    <row r="69" spans="2:33" ht="15" customHeight="1" thickTop="1" x14ac:dyDescent="0.25">
      <c r="M69" s="90" t="s">
        <v>103</v>
      </c>
      <c r="N69" s="96">
        <f t="shared" si="1"/>
        <v>142.24363946</v>
      </c>
      <c r="O69" s="96">
        <f t="shared" si="1"/>
        <v>63.382484749999996</v>
      </c>
      <c r="P69" s="96">
        <f t="shared" si="1"/>
        <v>0</v>
      </c>
      <c r="Q69" s="96">
        <f t="shared" si="1"/>
        <v>0</v>
      </c>
      <c r="R69" s="96">
        <f t="shared" si="1"/>
        <v>48.037251599999991</v>
      </c>
      <c r="T69" s="90" t="s">
        <v>103</v>
      </c>
      <c r="U69" s="96">
        <f t="shared" si="2"/>
        <v>102.81370260168799</v>
      </c>
      <c r="V69" s="96">
        <f t="shared" si="2"/>
        <v>45.8128599773</v>
      </c>
      <c r="W69" s="96">
        <f t="shared" si="2"/>
        <v>0</v>
      </c>
      <c r="X69" s="96">
        <f t="shared" si="2"/>
        <v>0</v>
      </c>
      <c r="Y69" s="96">
        <f t="shared" si="2"/>
        <v>34.721325456479995</v>
      </c>
      <c r="AA69" s="90" t="s">
        <v>103</v>
      </c>
      <c r="AB69" s="96">
        <f t="shared" si="3"/>
        <v>28.216188112788004</v>
      </c>
      <c r="AC69" s="96">
        <f t="shared" si="3"/>
        <v>12.572879318550001</v>
      </c>
      <c r="AD69" s="96">
        <f t="shared" si="3"/>
        <v>0</v>
      </c>
      <c r="AE69" s="96">
        <f t="shared" si="3"/>
        <v>0</v>
      </c>
      <c r="AF69" s="96">
        <f t="shared" si="3"/>
        <v>9.52891906248</v>
      </c>
    </row>
    <row r="70" spans="2:33" ht="15" customHeight="1" thickBot="1" x14ac:dyDescent="0.3">
      <c r="F70" s="25">
        <f>F62</f>
        <v>170000</v>
      </c>
      <c r="M70" s="91" t="s">
        <v>104</v>
      </c>
      <c r="N70" s="96">
        <f t="shared" si="1"/>
        <v>100.07760749999998</v>
      </c>
      <c r="O70" s="96">
        <f t="shared" si="1"/>
        <v>21.616763219999996</v>
      </c>
      <c r="P70" s="96">
        <f t="shared" si="1"/>
        <v>35.36075464999999</v>
      </c>
      <c r="Q70" s="96">
        <f t="shared" si="1"/>
        <v>41.231974289999997</v>
      </c>
      <c r="R70" s="96">
        <f t="shared" si="1"/>
        <v>0</v>
      </c>
      <c r="T70" s="91" t="s">
        <v>104</v>
      </c>
      <c r="U70" s="96">
        <f t="shared" si="2"/>
        <v>72.336094700999993</v>
      </c>
      <c r="V70" s="96">
        <f t="shared" si="2"/>
        <v>15.624596455415997</v>
      </c>
      <c r="W70" s="96">
        <f t="shared" si="2"/>
        <v>25.558753461019993</v>
      </c>
      <c r="X70" s="96">
        <f t="shared" si="2"/>
        <v>29.802471016811996</v>
      </c>
      <c r="Y70" s="96">
        <f t="shared" si="2"/>
        <v>0</v>
      </c>
      <c r="AA70" s="91" t="s">
        <v>104</v>
      </c>
      <c r="AB70" s="96">
        <f t="shared" si="3"/>
        <v>19.851914713499998</v>
      </c>
      <c r="AC70" s="96">
        <f t="shared" si="3"/>
        <v>4.2880135781159998</v>
      </c>
      <c r="AD70" s="96">
        <f t="shared" si="3"/>
        <v>7.0143431987699998</v>
      </c>
      <c r="AE70" s="96">
        <f t="shared" si="3"/>
        <v>8.1789888619620008</v>
      </c>
      <c r="AF70" s="96">
        <f t="shared" si="3"/>
        <v>0</v>
      </c>
    </row>
    <row r="71" spans="2:33" ht="15" customHeight="1" x14ac:dyDescent="0.25">
      <c r="F71" s="102">
        <v>189000</v>
      </c>
      <c r="M71" s="83"/>
      <c r="N71" s="102"/>
      <c r="O71" s="102"/>
      <c r="P71" s="102"/>
      <c r="Q71" s="102"/>
      <c r="R71" s="102"/>
      <c r="T71" s="83"/>
      <c r="U71" s="102"/>
      <c r="V71" s="102"/>
      <c r="W71" s="102"/>
      <c r="X71" s="102"/>
      <c r="Y71" s="102">
        <f>SUM(U66:Y70)</f>
        <v>810.06781252493204</v>
      </c>
      <c r="Z71" s="28"/>
      <c r="AA71" s="83"/>
      <c r="AB71" s="102"/>
      <c r="AC71" s="102"/>
      <c r="AD71" s="102"/>
      <c r="AE71" s="102"/>
      <c r="AF71" s="102">
        <f>SUM(AB66:AF70)</f>
        <v>222.31497557158201</v>
      </c>
      <c r="AG71" s="28"/>
    </row>
    <row r="72" spans="2:33" ht="15" customHeight="1" thickBot="1" x14ac:dyDescent="0.35">
      <c r="F72" s="25">
        <f>SUM(F70:F71)</f>
        <v>359000</v>
      </c>
      <c r="M72" s="104" t="s">
        <v>284</v>
      </c>
      <c r="N72" s="104"/>
      <c r="O72" s="105"/>
      <c r="P72" s="105"/>
      <c r="Q72" s="105"/>
      <c r="R72" s="105"/>
      <c r="T72" s="104" t="s">
        <v>280</v>
      </c>
      <c r="U72" s="104"/>
      <c r="V72" s="105"/>
      <c r="W72" s="105"/>
      <c r="X72" s="105"/>
      <c r="Y72" s="105"/>
      <c r="Z72" s="105"/>
      <c r="AA72" s="104" t="s">
        <v>282</v>
      </c>
      <c r="AB72" s="106"/>
      <c r="AC72" s="28"/>
      <c r="AD72" s="28"/>
      <c r="AE72" s="28"/>
      <c r="AF72" s="28"/>
      <c r="AG72" s="28"/>
    </row>
    <row r="73" spans="2:33" ht="15" customHeight="1" thickBot="1" x14ac:dyDescent="0.3">
      <c r="M73" s="88" t="s">
        <v>173</v>
      </c>
      <c r="N73" s="92" t="s">
        <v>100</v>
      </c>
      <c r="O73" s="92" t="s">
        <v>101</v>
      </c>
      <c r="P73" s="92" t="s">
        <v>102</v>
      </c>
      <c r="Q73" s="92" t="s">
        <v>103</v>
      </c>
      <c r="R73" s="92" t="s">
        <v>104</v>
      </c>
      <c r="T73" s="88" t="s">
        <v>173</v>
      </c>
      <c r="U73" s="92" t="s">
        <v>100</v>
      </c>
      <c r="V73" s="92" t="s">
        <v>101</v>
      </c>
      <c r="W73" s="92" t="s">
        <v>102</v>
      </c>
      <c r="X73" s="92" t="s">
        <v>103</v>
      </c>
      <c r="Y73" s="92" t="s">
        <v>104</v>
      </c>
      <c r="AA73" s="88" t="s">
        <v>173</v>
      </c>
      <c r="AB73" s="92" t="s">
        <v>100</v>
      </c>
      <c r="AC73" s="92" t="s">
        <v>101</v>
      </c>
      <c r="AD73" s="92" t="s">
        <v>102</v>
      </c>
      <c r="AE73" s="92" t="s">
        <v>103</v>
      </c>
      <c r="AF73" s="92" t="s">
        <v>104</v>
      </c>
    </row>
    <row r="74" spans="2:33" ht="15" customHeight="1" x14ac:dyDescent="0.25">
      <c r="M74" s="89" t="s">
        <v>100</v>
      </c>
      <c r="N74" s="96">
        <f t="shared" ref="N74:R78" si="4">N58*21.09%</f>
        <v>0</v>
      </c>
      <c r="O74" s="96">
        <f t="shared" si="4"/>
        <v>0</v>
      </c>
      <c r="P74" s="96">
        <f t="shared" si="4"/>
        <v>26.747392499999997</v>
      </c>
      <c r="Q74" s="96">
        <f t="shared" si="4"/>
        <v>37.232370360000004</v>
      </c>
      <c r="R74" s="96">
        <f t="shared" si="4"/>
        <v>27.282340350000002</v>
      </c>
      <c r="T74" s="89" t="s">
        <v>100</v>
      </c>
      <c r="U74" s="96">
        <f t="shared" ref="U74:Y78" si="5">N66*27.72%</f>
        <v>0</v>
      </c>
      <c r="V74" s="96">
        <f t="shared" si="5"/>
        <v>0</v>
      </c>
      <c r="W74" s="96">
        <f t="shared" si="5"/>
        <v>27.741512798999995</v>
      </c>
      <c r="X74" s="96">
        <f t="shared" si="5"/>
        <v>38.616185816208002</v>
      </c>
      <c r="Y74" s="96">
        <f t="shared" si="5"/>
        <v>28.296343054979999</v>
      </c>
      <c r="AA74" s="89" t="s">
        <v>100</v>
      </c>
      <c r="AB74" s="96">
        <f t="shared" ref="AB74:AF78" si="6">N74*25.78%</f>
        <v>0</v>
      </c>
      <c r="AC74" s="96">
        <f t="shared" si="6"/>
        <v>0</v>
      </c>
      <c r="AD74" s="96">
        <f t="shared" si="6"/>
        <v>6.8954777864999999</v>
      </c>
      <c r="AE74" s="96">
        <f t="shared" si="6"/>
        <v>9.5985050788080031</v>
      </c>
      <c r="AF74" s="96">
        <f t="shared" si="6"/>
        <v>7.0333873422300011</v>
      </c>
    </row>
    <row r="75" spans="2:33" x14ac:dyDescent="0.25">
      <c r="M75" s="90" t="s">
        <v>101</v>
      </c>
      <c r="N75" s="96">
        <f t="shared" si="4"/>
        <v>0</v>
      </c>
      <c r="O75" s="96">
        <f t="shared" si="4"/>
        <v>0</v>
      </c>
      <c r="P75" s="96">
        <f t="shared" si="4"/>
        <v>12.446453310000001</v>
      </c>
      <c r="Q75" s="96">
        <f t="shared" si="4"/>
        <v>16.547720159999997</v>
      </c>
      <c r="R75" s="96">
        <f t="shared" si="4"/>
        <v>8.38084965</v>
      </c>
      <c r="T75" s="90" t="s">
        <v>101</v>
      </c>
      <c r="U75" s="96">
        <f t="shared" si="5"/>
        <v>0</v>
      </c>
      <c r="V75" s="96">
        <f t="shared" si="5"/>
        <v>0</v>
      </c>
      <c r="W75" s="96">
        <f t="shared" si="5"/>
        <v>12.909050622468</v>
      </c>
      <c r="X75" s="96">
        <f t="shared" si="5"/>
        <v>17.162749251647995</v>
      </c>
      <c r="Y75" s="96">
        <f t="shared" si="5"/>
        <v>8.6923406770199989</v>
      </c>
      <c r="AA75" s="90" t="s">
        <v>101</v>
      </c>
      <c r="AB75" s="96">
        <f t="shared" si="6"/>
        <v>0</v>
      </c>
      <c r="AC75" s="96">
        <f t="shared" si="6"/>
        <v>0</v>
      </c>
      <c r="AD75" s="96">
        <f t="shared" si="6"/>
        <v>3.2086956633180006</v>
      </c>
      <c r="AE75" s="96">
        <f t="shared" si="6"/>
        <v>4.2660022572480001</v>
      </c>
      <c r="AF75" s="96">
        <f t="shared" si="6"/>
        <v>2.1605830397700001</v>
      </c>
    </row>
    <row r="76" spans="2:33" x14ac:dyDescent="0.25">
      <c r="M76" s="90" t="s">
        <v>102</v>
      </c>
      <c r="N76" s="96">
        <f t="shared" si="4"/>
        <v>27.531982679999999</v>
      </c>
      <c r="O76" s="96">
        <f t="shared" si="4"/>
        <v>12.874411589999999</v>
      </c>
      <c r="P76" s="96">
        <f t="shared" si="4"/>
        <v>0</v>
      </c>
      <c r="Q76" s="96">
        <f t="shared" si="4"/>
        <v>0</v>
      </c>
      <c r="R76" s="96">
        <f t="shared" si="4"/>
        <v>9.7003876800000004</v>
      </c>
      <c r="T76" s="90" t="s">
        <v>102</v>
      </c>
      <c r="U76" s="96">
        <f t="shared" si="5"/>
        <v>28.555263841103994</v>
      </c>
      <c r="V76" s="96">
        <f t="shared" si="5"/>
        <v>13.352914827251997</v>
      </c>
      <c r="W76" s="96">
        <f t="shared" si="5"/>
        <v>0</v>
      </c>
      <c r="X76" s="96">
        <f t="shared" si="5"/>
        <v>0</v>
      </c>
      <c r="Y76" s="96">
        <f t="shared" si="5"/>
        <v>10.060921975103998</v>
      </c>
      <c r="AA76" s="90" t="s">
        <v>102</v>
      </c>
      <c r="AB76" s="96">
        <f t="shared" si="6"/>
        <v>7.0977451349040006</v>
      </c>
      <c r="AC76" s="96">
        <f t="shared" si="6"/>
        <v>3.3190233079020004</v>
      </c>
      <c r="AD76" s="96">
        <f t="shared" si="6"/>
        <v>0</v>
      </c>
      <c r="AE76" s="96">
        <f t="shared" si="6"/>
        <v>0</v>
      </c>
      <c r="AF76" s="96">
        <f t="shared" si="6"/>
        <v>2.5007599439040002</v>
      </c>
    </row>
    <row r="77" spans="2:33" x14ac:dyDescent="0.25">
      <c r="M77" s="90" t="s">
        <v>103</v>
      </c>
      <c r="N77" s="96">
        <f t="shared" si="4"/>
        <v>38.016960540000007</v>
      </c>
      <c r="O77" s="96">
        <f t="shared" si="4"/>
        <v>16.940015250000002</v>
      </c>
      <c r="P77" s="96">
        <f t="shared" si="4"/>
        <v>0</v>
      </c>
      <c r="Q77" s="96">
        <f t="shared" si="4"/>
        <v>0</v>
      </c>
      <c r="R77" s="96">
        <f t="shared" si="4"/>
        <v>12.8387484</v>
      </c>
      <c r="T77" s="90" t="s">
        <v>103</v>
      </c>
      <c r="U77" s="96">
        <f t="shared" si="5"/>
        <v>39.429936858311997</v>
      </c>
      <c r="V77" s="96">
        <f t="shared" si="5"/>
        <v>17.569624772699999</v>
      </c>
      <c r="W77" s="96">
        <f t="shared" si="5"/>
        <v>0</v>
      </c>
      <c r="X77" s="96">
        <f t="shared" si="5"/>
        <v>0</v>
      </c>
      <c r="Y77" s="96">
        <f t="shared" si="5"/>
        <v>13.315926143519997</v>
      </c>
      <c r="AA77" s="90" t="s">
        <v>103</v>
      </c>
      <c r="AB77" s="96">
        <f t="shared" si="6"/>
        <v>9.8007724272120029</v>
      </c>
      <c r="AC77" s="96">
        <f t="shared" si="6"/>
        <v>4.3671359314500009</v>
      </c>
      <c r="AD77" s="96">
        <f t="shared" si="6"/>
        <v>0</v>
      </c>
      <c r="AE77" s="96">
        <f t="shared" si="6"/>
        <v>0</v>
      </c>
      <c r="AF77" s="96">
        <f t="shared" si="6"/>
        <v>3.3098293375200005</v>
      </c>
    </row>
    <row r="78" spans="2:33" ht="15.75" thickBot="1" x14ac:dyDescent="0.3">
      <c r="M78" s="91" t="s">
        <v>104</v>
      </c>
      <c r="N78" s="96">
        <f t="shared" si="4"/>
        <v>26.747392499999997</v>
      </c>
      <c r="O78" s="96">
        <f t="shared" si="4"/>
        <v>5.7774367799999995</v>
      </c>
      <c r="P78" s="96">
        <f t="shared" si="4"/>
        <v>9.45074535</v>
      </c>
      <c r="Q78" s="96">
        <f t="shared" si="4"/>
        <v>11.019925710000001</v>
      </c>
      <c r="R78" s="96">
        <f t="shared" si="4"/>
        <v>0</v>
      </c>
      <c r="T78" s="91" t="s">
        <v>104</v>
      </c>
      <c r="U78" s="96">
        <f t="shared" si="5"/>
        <v>27.741512798999995</v>
      </c>
      <c r="V78" s="96">
        <f t="shared" si="5"/>
        <v>5.9921667645839989</v>
      </c>
      <c r="W78" s="96">
        <f t="shared" si="5"/>
        <v>9.8020011889799967</v>
      </c>
      <c r="X78" s="96">
        <f t="shared" si="5"/>
        <v>11.429503273187999</v>
      </c>
      <c r="Y78" s="96">
        <f t="shared" si="5"/>
        <v>0</v>
      </c>
      <c r="AA78" s="91" t="s">
        <v>104</v>
      </c>
      <c r="AB78" s="96">
        <f t="shared" si="6"/>
        <v>6.8954777864999999</v>
      </c>
      <c r="AC78" s="96">
        <f t="shared" si="6"/>
        <v>1.4894232018840001</v>
      </c>
      <c r="AD78" s="96">
        <f t="shared" si="6"/>
        <v>2.4364021512300003</v>
      </c>
      <c r="AE78" s="96">
        <f t="shared" si="6"/>
        <v>2.8409368480380004</v>
      </c>
      <c r="AF78" s="96">
        <f t="shared" si="6"/>
        <v>0</v>
      </c>
    </row>
    <row r="79" spans="2:33" x14ac:dyDescent="0.25">
      <c r="Y79" s="102">
        <f>SUM(U74:Y78)</f>
        <v>310.66795466506801</v>
      </c>
      <c r="AF79" s="102">
        <f>SUM(AB74:AF78)</f>
        <v>77.220157238417997</v>
      </c>
    </row>
    <row r="80" spans="2:33" x14ac:dyDescent="0.25">
      <c r="O80" s="140" t="s">
        <v>286</v>
      </c>
      <c r="P80" t="s">
        <v>289</v>
      </c>
      <c r="Q80" t="s">
        <v>287</v>
      </c>
    </row>
    <row r="81" spans="13:32" x14ac:dyDescent="0.25">
      <c r="M81" s="140" t="s">
        <v>285</v>
      </c>
      <c r="O81" t="s">
        <v>288</v>
      </c>
      <c r="P81" s="20">
        <v>161000</v>
      </c>
      <c r="Q81" s="20">
        <v>115000</v>
      </c>
    </row>
    <row r="82" spans="13:32" ht="19.5" thickBot="1" x14ac:dyDescent="0.35">
      <c r="M82" s="143"/>
      <c r="O82" t="s">
        <v>290</v>
      </c>
      <c r="P82" s="20">
        <v>230000</v>
      </c>
      <c r="Q82" s="20">
        <v>172500</v>
      </c>
      <c r="T82" s="104" t="s">
        <v>292</v>
      </c>
      <c r="U82" s="104"/>
      <c r="V82" s="105"/>
      <c r="W82" s="105"/>
      <c r="X82" s="105"/>
      <c r="Y82" s="105"/>
      <c r="AA82" s="104" t="s">
        <v>294</v>
      </c>
      <c r="AB82" s="104"/>
      <c r="AC82" s="105"/>
      <c r="AD82" s="105"/>
      <c r="AE82" s="105"/>
    </row>
    <row r="83" spans="13:32" ht="15.75" thickBot="1" x14ac:dyDescent="0.3">
      <c r="M83" s="144" t="s">
        <v>173</v>
      </c>
      <c r="N83" s="92" t="s">
        <v>100</v>
      </c>
      <c r="O83" s="165" t="s">
        <v>101</v>
      </c>
      <c r="P83" s="92" t="s">
        <v>102</v>
      </c>
      <c r="Q83" s="92" t="s">
        <v>103</v>
      </c>
      <c r="R83" s="92" t="s">
        <v>104</v>
      </c>
      <c r="T83" s="88" t="s">
        <v>173</v>
      </c>
      <c r="U83" s="92" t="s">
        <v>100</v>
      </c>
      <c r="V83" s="92" t="s">
        <v>101</v>
      </c>
      <c r="W83" s="92" t="s">
        <v>102</v>
      </c>
      <c r="X83" s="92" t="s">
        <v>103</v>
      </c>
      <c r="Y83" s="92" t="s">
        <v>104</v>
      </c>
      <c r="AA83" s="88" t="s">
        <v>173</v>
      </c>
      <c r="AB83" s="92" t="s">
        <v>100</v>
      </c>
      <c r="AC83" s="92" t="s">
        <v>101</v>
      </c>
      <c r="AD83" s="92" t="s">
        <v>102</v>
      </c>
      <c r="AE83" s="92" t="s">
        <v>103</v>
      </c>
      <c r="AF83" s="92" t="s">
        <v>104</v>
      </c>
    </row>
    <row r="84" spans="13:32" x14ac:dyDescent="0.25">
      <c r="M84" s="89" t="s">
        <v>100</v>
      </c>
      <c r="N84" s="166">
        <f t="shared" ref="N84:R88" si="7">(U102+AB102)*360</f>
        <v>0</v>
      </c>
      <c r="O84" s="169">
        <f t="shared" si="7"/>
        <v>0</v>
      </c>
      <c r="P84" s="166">
        <f t="shared" si="7"/>
        <v>26040604182.17902</v>
      </c>
      <c r="Q84" s="166">
        <f t="shared" si="7"/>
        <v>67647197630.694733</v>
      </c>
      <c r="R84" s="166">
        <f t="shared" si="7"/>
        <v>67203456098.926552</v>
      </c>
      <c r="T84" s="89" t="s">
        <v>100</v>
      </c>
      <c r="U84" s="96">
        <f t="shared" ref="U84:Y88" si="8">((U50+$P$81)*U66)</f>
        <v>0</v>
      </c>
      <c r="V84" s="96">
        <f t="shared" si="8"/>
        <v>0</v>
      </c>
      <c r="W84" s="96">
        <f t="shared" si="8"/>
        <v>41936416.886336543</v>
      </c>
      <c r="X84" s="96">
        <f t="shared" si="8"/>
        <v>108317438.54025541</v>
      </c>
      <c r="Y84" s="96">
        <f t="shared" si="8"/>
        <v>106816342.76122618</v>
      </c>
      <c r="AA84" s="89" t="s">
        <v>100</v>
      </c>
      <c r="AB84" s="96">
        <f t="shared" ref="AB84:AF88" si="9">((AB50+$P$82)*AB66)</f>
        <v>0</v>
      </c>
      <c r="AC84" s="96">
        <f t="shared" si="9"/>
        <v>0</v>
      </c>
      <c r="AD84" s="96">
        <f t="shared" si="9"/>
        <v>17320557.364552185</v>
      </c>
      <c r="AE84" s="96">
        <f t="shared" si="9"/>
        <v>44669369.478818998</v>
      </c>
      <c r="AF84" s="96">
        <f t="shared" si="9"/>
        <v>44030275.12088646</v>
      </c>
    </row>
    <row r="85" spans="13:32" x14ac:dyDescent="0.25">
      <c r="M85" s="90" t="s">
        <v>101</v>
      </c>
      <c r="N85" s="167">
        <f t="shared" si="7"/>
        <v>0</v>
      </c>
      <c r="O85" s="167">
        <f t="shared" si="7"/>
        <v>0</v>
      </c>
      <c r="P85" s="57">
        <f t="shared" si="7"/>
        <v>12117561146.107304</v>
      </c>
      <c r="Q85" s="57">
        <f t="shared" si="7"/>
        <v>30065421169.197655</v>
      </c>
      <c r="R85" s="57">
        <f t="shared" si="7"/>
        <v>20644198932.349983</v>
      </c>
      <c r="T85" s="90" t="s">
        <v>101</v>
      </c>
      <c r="U85" s="96">
        <f t="shared" si="8"/>
        <v>0</v>
      </c>
      <c r="V85" s="96">
        <f t="shared" si="8"/>
        <v>0</v>
      </c>
      <c r="W85" s="96">
        <f t="shared" si="8"/>
        <v>19514412.657775272</v>
      </c>
      <c r="X85" s="96">
        <f t="shared" si="8"/>
        <v>48141083.795669064</v>
      </c>
      <c r="Y85" s="96">
        <f t="shared" si="8"/>
        <v>32812863.46259889</v>
      </c>
      <c r="AA85" s="90" t="s">
        <v>101</v>
      </c>
      <c r="AB85" s="96">
        <f t="shared" si="9"/>
        <v>0</v>
      </c>
      <c r="AC85" s="96">
        <f t="shared" si="9"/>
        <v>0</v>
      </c>
      <c r="AD85" s="96">
        <f t="shared" si="9"/>
        <v>8059832.6936382856</v>
      </c>
      <c r="AE85" s="96">
        <f t="shared" si="9"/>
        <v>19853053.101697329</v>
      </c>
      <c r="AF85" s="96">
        <f t="shared" si="9"/>
        <v>13525640.069814792</v>
      </c>
    </row>
    <row r="86" spans="13:32" x14ac:dyDescent="0.25">
      <c r="M86" s="90" t="s">
        <v>102</v>
      </c>
      <c r="N86" s="57">
        <f t="shared" si="7"/>
        <v>26804461904.856266</v>
      </c>
      <c r="O86" s="167">
        <f t="shared" si="7"/>
        <v>12534210813.022165</v>
      </c>
      <c r="P86" s="168">
        <f t="shared" si="7"/>
        <v>0</v>
      </c>
      <c r="Q86" s="167">
        <f t="shared" si="7"/>
        <v>0</v>
      </c>
      <c r="R86" s="167">
        <f t="shared" si="7"/>
        <v>17624557237.115864</v>
      </c>
      <c r="T86" s="90" t="s">
        <v>102</v>
      </c>
      <c r="U86" s="96">
        <f t="shared" si="8"/>
        <v>43166551.781669073</v>
      </c>
      <c r="V86" s="96">
        <f t="shared" si="8"/>
        <v>20185395.32795665</v>
      </c>
      <c r="W86" s="96">
        <f t="shared" si="8"/>
        <v>0</v>
      </c>
      <c r="X86" s="96">
        <f t="shared" si="8"/>
        <v>0</v>
      </c>
      <c r="Y86" s="96">
        <f t="shared" si="8"/>
        <v>28220635.328495655</v>
      </c>
      <c r="AA86" s="90" t="s">
        <v>102</v>
      </c>
      <c r="AB86" s="96">
        <f t="shared" si="9"/>
        <v>17828627.047245719</v>
      </c>
      <c r="AC86" s="96">
        <f t="shared" si="9"/>
        <v>8336961.6114711193</v>
      </c>
      <c r="AD86" s="96">
        <f t="shared" si="9"/>
        <v>0</v>
      </c>
      <c r="AE86" s="96">
        <f t="shared" si="9"/>
        <v>0</v>
      </c>
      <c r="AF86" s="96">
        <f t="shared" si="9"/>
        <v>11637996.645822573</v>
      </c>
    </row>
    <row r="87" spans="13:32" x14ac:dyDescent="0.25">
      <c r="M87" s="90" t="s">
        <v>103</v>
      </c>
      <c r="N87" s="167">
        <f t="shared" si="7"/>
        <v>69072713289.579117</v>
      </c>
      <c r="O87" s="167">
        <f t="shared" si="7"/>
        <v>30778178998.639843</v>
      </c>
      <c r="P87" s="168">
        <f t="shared" si="7"/>
        <v>0</v>
      </c>
      <c r="Q87" s="167">
        <f t="shared" si="7"/>
        <v>0</v>
      </c>
      <c r="R87" s="57">
        <f t="shared" si="7"/>
        <v>12499490007.445929</v>
      </c>
      <c r="T87" s="90" t="s">
        <v>103</v>
      </c>
      <c r="U87" s="96">
        <f t="shared" si="8"/>
        <v>110599989.92711903</v>
      </c>
      <c r="V87" s="96">
        <f t="shared" si="8"/>
        <v>49282359.489100881</v>
      </c>
      <c r="W87" s="96">
        <f t="shared" si="8"/>
        <v>0</v>
      </c>
      <c r="X87" s="96">
        <f t="shared" si="8"/>
        <v>0</v>
      </c>
      <c r="Y87" s="96">
        <f t="shared" si="8"/>
        <v>20129480.105441537</v>
      </c>
      <c r="AA87" s="90" t="s">
        <v>103</v>
      </c>
      <c r="AB87" s="96">
        <f t="shared" si="9"/>
        <v>45610678.031054653</v>
      </c>
      <c r="AC87" s="96">
        <f t="shared" si="9"/>
        <v>20323707.377815157</v>
      </c>
      <c r="AD87" s="96">
        <f t="shared" si="9"/>
        <v>0</v>
      </c>
      <c r="AE87" s="96">
        <f t="shared" si="9"/>
        <v>0</v>
      </c>
      <c r="AF87" s="96">
        <f t="shared" si="9"/>
        <v>8313867.5349850506</v>
      </c>
    </row>
    <row r="88" spans="13:32" ht="15.75" thickBot="1" x14ac:dyDescent="0.3">
      <c r="M88" s="91" t="s">
        <v>104</v>
      </c>
      <c r="N88" s="170">
        <f t="shared" si="7"/>
        <v>65885741273.457397</v>
      </c>
      <c r="O88" s="170">
        <f t="shared" si="7"/>
        <v>14231320115.066797</v>
      </c>
      <c r="P88" s="170">
        <f t="shared" si="7"/>
        <v>17958594472.462307</v>
      </c>
      <c r="Q88" s="170">
        <f t="shared" si="7"/>
        <v>10728728923.057755</v>
      </c>
      <c r="R88" s="170">
        <f t="shared" si="7"/>
        <v>0</v>
      </c>
      <c r="T88" s="91" t="s">
        <v>104</v>
      </c>
      <c r="U88" s="96">
        <f t="shared" si="8"/>
        <v>104721904.66786881</v>
      </c>
      <c r="V88" s="96">
        <f t="shared" si="8"/>
        <v>22619931.40825966</v>
      </c>
      <c r="W88" s="96">
        <f t="shared" si="8"/>
        <v>27494368.978129961</v>
      </c>
      <c r="X88" s="96">
        <f t="shared" si="8"/>
        <v>17277803.757170655</v>
      </c>
      <c r="Y88" s="96">
        <f t="shared" si="8"/>
        <v>0</v>
      </c>
      <c r="AA88" s="91" t="s">
        <v>104</v>
      </c>
      <c r="AB88" s="96">
        <f t="shared" si="9"/>
        <v>43166936.393025927</v>
      </c>
      <c r="AC88" s="96">
        <f t="shared" si="9"/>
        <v>9324058.2608936019</v>
      </c>
      <c r="AD88" s="96">
        <f t="shared" si="9"/>
        <v>11338489.379202139</v>
      </c>
      <c r="AE88" s="96">
        <f t="shared" si="9"/>
        <v>7136069.6341955019</v>
      </c>
      <c r="AF88" s="96">
        <f t="shared" si="9"/>
        <v>0</v>
      </c>
    </row>
    <row r="89" spans="13:32" x14ac:dyDescent="0.25">
      <c r="M89" s="143"/>
      <c r="R89" s="25">
        <f>SUM(N84:R88)</f>
        <v>501836436194.15857</v>
      </c>
      <c r="Y89" s="25">
        <f>SUM(U84:Y88)</f>
        <v>801236978.87507343</v>
      </c>
      <c r="AF89" s="25">
        <f>SUM(AB84:AF88)</f>
        <v>330476119.74511945</v>
      </c>
    </row>
    <row r="90" spans="13:32" ht="15.75" thickBot="1" x14ac:dyDescent="0.3">
      <c r="X90" s="102"/>
      <c r="Y90" s="25">
        <f>Y89/Y71</f>
        <v>989098.64888677234</v>
      </c>
      <c r="AF90" s="25">
        <f>AF89/AF71</f>
        <v>1486522.079295154</v>
      </c>
    </row>
    <row r="91" spans="13:32" ht="19.5" thickBot="1" x14ac:dyDescent="0.35">
      <c r="M91" s="88" t="s">
        <v>173</v>
      </c>
      <c r="N91" s="92" t="s">
        <v>100</v>
      </c>
      <c r="O91" s="92" t="s">
        <v>101</v>
      </c>
      <c r="P91" s="92" t="s">
        <v>102</v>
      </c>
      <c r="Q91" s="92" t="s">
        <v>103</v>
      </c>
      <c r="R91" s="92" t="s">
        <v>104</v>
      </c>
      <c r="T91" s="104" t="s">
        <v>293</v>
      </c>
      <c r="U91" s="104"/>
      <c r="V91" s="105"/>
      <c r="W91" s="105"/>
      <c r="X91" s="105"/>
      <c r="Y91" s="105"/>
      <c r="AA91" s="104" t="s">
        <v>295</v>
      </c>
      <c r="AB91" s="104"/>
      <c r="AC91" s="105"/>
      <c r="AD91" s="105"/>
      <c r="AE91" s="105"/>
    </row>
    <row r="92" spans="13:32" ht="15.75" thickBot="1" x14ac:dyDescent="0.3">
      <c r="M92" s="89" t="s">
        <v>100</v>
      </c>
      <c r="N92" s="23">
        <v>0</v>
      </c>
      <c r="O92" s="23">
        <v>0</v>
      </c>
      <c r="P92" s="23">
        <v>26040</v>
      </c>
      <c r="Q92" s="23">
        <v>67647</v>
      </c>
      <c r="R92" s="23">
        <v>67203</v>
      </c>
      <c r="T92" s="88" t="s">
        <v>173</v>
      </c>
      <c r="U92" s="92" t="s">
        <v>100</v>
      </c>
      <c r="V92" s="92" t="s">
        <v>101</v>
      </c>
      <c r="W92" s="92" t="s">
        <v>102</v>
      </c>
      <c r="X92" s="92" t="s">
        <v>103</v>
      </c>
      <c r="Y92" s="92" t="s">
        <v>104</v>
      </c>
      <c r="AA92" s="88" t="s">
        <v>173</v>
      </c>
      <c r="AB92" s="92" t="s">
        <v>100</v>
      </c>
      <c r="AC92" s="92" t="s">
        <v>101</v>
      </c>
      <c r="AD92" s="92" t="s">
        <v>102</v>
      </c>
      <c r="AE92" s="92" t="s">
        <v>103</v>
      </c>
      <c r="AF92" s="92" t="s">
        <v>104</v>
      </c>
    </row>
    <row r="93" spans="13:32" x14ac:dyDescent="0.25">
      <c r="M93" s="90" t="s">
        <v>101</v>
      </c>
      <c r="N93" s="23">
        <f>N85*V36*360</f>
        <v>0</v>
      </c>
      <c r="O93" s="23">
        <f>O85*W36*360</f>
        <v>0</v>
      </c>
      <c r="P93" s="23">
        <v>12117</v>
      </c>
      <c r="Q93" s="23">
        <v>30065</v>
      </c>
      <c r="R93" s="23">
        <v>20644</v>
      </c>
      <c r="T93" s="89" t="s">
        <v>100</v>
      </c>
      <c r="U93" s="96">
        <f t="shared" ref="U93:Y97" si="10">((U58+$Q$81)*U74)</f>
        <v>0</v>
      </c>
      <c r="V93" s="96">
        <f t="shared" si="10"/>
        <v>0</v>
      </c>
      <c r="W93" s="96">
        <f t="shared" si="10"/>
        <v>7458305.7160111489</v>
      </c>
      <c r="X93" s="96">
        <f t="shared" si="10"/>
        <v>19958273.628691494</v>
      </c>
      <c r="Y93" s="96">
        <f t="shared" si="10"/>
        <v>20940340.825378235</v>
      </c>
      <c r="AA93" s="89" t="s">
        <v>100</v>
      </c>
      <c r="AB93" s="96">
        <f t="shared" ref="AB93:AF97" si="11">((AB58+$Q$82)*AB74)</f>
        <v>0</v>
      </c>
      <c r="AC93" s="96">
        <f t="shared" si="11"/>
        <v>0</v>
      </c>
      <c r="AD93" s="96">
        <f t="shared" si="11"/>
        <v>5619731.650264062</v>
      </c>
      <c r="AE93" s="96">
        <f t="shared" si="11"/>
        <v>14963800.659719471</v>
      </c>
      <c r="AF93" s="96">
        <f t="shared" si="11"/>
        <v>14889308.233971775</v>
      </c>
    </row>
    <row r="94" spans="13:32" x14ac:dyDescent="0.25">
      <c r="M94" s="90" t="s">
        <v>102</v>
      </c>
      <c r="N94" s="23">
        <v>26804</v>
      </c>
      <c r="O94" s="23">
        <v>12534</v>
      </c>
      <c r="P94" s="23">
        <f>P86*X37*360</f>
        <v>0</v>
      </c>
      <c r="Q94" s="23">
        <f>Q86*Y37*360</f>
        <v>0</v>
      </c>
      <c r="R94" s="23">
        <v>17624</v>
      </c>
      <c r="T94" s="90" t="s">
        <v>101</v>
      </c>
      <c r="U94" s="96">
        <f t="shared" si="10"/>
        <v>0</v>
      </c>
      <c r="V94" s="96">
        <f t="shared" si="10"/>
        <v>0</v>
      </c>
      <c r="W94" s="96">
        <f t="shared" si="10"/>
        <v>3470598.2598505216</v>
      </c>
      <c r="X94" s="96">
        <f t="shared" si="10"/>
        <v>8870343.8349739946</v>
      </c>
      <c r="Y94" s="96">
        <f t="shared" si="10"/>
        <v>6432653.7175998492</v>
      </c>
      <c r="AA94" s="90" t="s">
        <v>101</v>
      </c>
      <c r="AB94" s="96">
        <f t="shared" si="11"/>
        <v>0</v>
      </c>
      <c r="AC94" s="96">
        <f t="shared" si="11"/>
        <v>0</v>
      </c>
      <c r="AD94" s="96">
        <f t="shared" si="11"/>
        <v>2615048.4612562107</v>
      </c>
      <c r="AE94" s="96">
        <f t="shared" si="11"/>
        <v>6650578.0709864292</v>
      </c>
      <c r="AF94" s="96">
        <f t="shared" si="11"/>
        <v>4573839.7842919827</v>
      </c>
    </row>
    <row r="95" spans="13:32" x14ac:dyDescent="0.25">
      <c r="M95" s="90" t="s">
        <v>103</v>
      </c>
      <c r="N95" s="23">
        <v>69072</v>
      </c>
      <c r="O95" s="23">
        <v>30778</v>
      </c>
      <c r="P95" s="23">
        <f>P87*X38*360</f>
        <v>0</v>
      </c>
      <c r="Q95" s="23">
        <f>Q87*Y38*360</f>
        <v>0</v>
      </c>
      <c r="R95" s="23">
        <v>12499</v>
      </c>
      <c r="T95" s="90" t="s">
        <v>102</v>
      </c>
      <c r="U95" s="96">
        <f t="shared" si="10"/>
        <v>7677082.6836808091</v>
      </c>
      <c r="V95" s="96">
        <f t="shared" si="10"/>
        <v>3589931.1513066995</v>
      </c>
      <c r="W95" s="96">
        <f t="shared" si="10"/>
        <v>0</v>
      </c>
      <c r="X95" s="96">
        <f t="shared" si="10"/>
        <v>0</v>
      </c>
      <c r="Y95" s="96">
        <f t="shared" si="10"/>
        <v>5199856.7308468251</v>
      </c>
      <c r="AA95" s="90" t="s">
        <v>102</v>
      </c>
      <c r="AB95" s="96">
        <f t="shared" si="11"/>
        <v>5784577.1120051416</v>
      </c>
      <c r="AC95" s="96">
        <f t="shared" si="11"/>
        <v>2704964.1676604357</v>
      </c>
      <c r="AD95" s="96">
        <f t="shared" si="11"/>
        <v>0</v>
      </c>
      <c r="AE95" s="96">
        <f t="shared" si="11"/>
        <v>0</v>
      </c>
      <c r="AF95" s="96">
        <f t="shared" si="11"/>
        <v>3898614.7312679072</v>
      </c>
    </row>
    <row r="96" spans="13:32" ht="15.75" thickBot="1" x14ac:dyDescent="0.3">
      <c r="M96" s="91" t="s">
        <v>104</v>
      </c>
      <c r="N96" s="23">
        <v>65885</v>
      </c>
      <c r="O96" s="23">
        <v>14231</v>
      </c>
      <c r="P96" s="23">
        <v>17958</v>
      </c>
      <c r="Q96" s="23">
        <v>10728</v>
      </c>
      <c r="R96" s="23">
        <f>R88*Z39*360</f>
        <v>0</v>
      </c>
      <c r="T96" s="90" t="s">
        <v>103</v>
      </c>
      <c r="U96" s="96">
        <f t="shared" si="10"/>
        <v>20378850.276039399</v>
      </c>
      <c r="V96" s="96">
        <f t="shared" si="10"/>
        <v>9080632.1586479489</v>
      </c>
      <c r="W96" s="96">
        <f t="shared" si="10"/>
        <v>0</v>
      </c>
      <c r="X96" s="96">
        <f t="shared" si="10"/>
        <v>0</v>
      </c>
      <c r="Y96" s="96">
        <f t="shared" si="10"/>
        <v>3579986.7436853512</v>
      </c>
      <c r="AA96" s="90" t="s">
        <v>103</v>
      </c>
      <c r="AB96" s="96">
        <f t="shared" si="11"/>
        <v>15279129.792395551</v>
      </c>
      <c r="AC96" s="96">
        <f t="shared" si="11"/>
        <v>6808242.637324471</v>
      </c>
      <c r="AD96" s="96">
        <f t="shared" si="11"/>
        <v>0</v>
      </c>
      <c r="AE96" s="96">
        <f t="shared" si="11"/>
        <v>0</v>
      </c>
      <c r="AF96" s="96">
        <f t="shared" si="11"/>
        <v>2697471.19212675</v>
      </c>
    </row>
    <row r="97" spans="14:32" ht="15.75" thickBot="1" x14ac:dyDescent="0.3">
      <c r="N97" s="246" t="s">
        <v>308</v>
      </c>
      <c r="O97" s="246"/>
      <c r="P97" s="246"/>
      <c r="Q97" s="246"/>
      <c r="R97" s="237">
        <f>SUM(N92:R96)</f>
        <v>501829</v>
      </c>
      <c r="T97" s="91" t="s">
        <v>104</v>
      </c>
      <c r="U97" s="96">
        <f t="shared" si="10"/>
        <v>20529745.907233559</v>
      </c>
      <c r="V97" s="96">
        <f t="shared" si="10"/>
        <v>4434425.1159624485</v>
      </c>
      <c r="W97" s="96">
        <f t="shared" si="10"/>
        <v>7253843.5538891898</v>
      </c>
      <c r="X97" s="96">
        <f t="shared" si="10"/>
        <v>3072821.9549965933</v>
      </c>
      <c r="Y97" s="96">
        <f t="shared" si="10"/>
        <v>0</v>
      </c>
      <c r="AA97" s="91" t="s">
        <v>104</v>
      </c>
      <c r="AB97" s="96">
        <f t="shared" si="11"/>
        <v>14597361.013697816</v>
      </c>
      <c r="AC97" s="96">
        <f t="shared" si="11"/>
        <v>3153029.9789587283</v>
      </c>
      <c r="AD97" s="96">
        <f t="shared" si="11"/>
        <v>3798282.7345073358</v>
      </c>
      <c r="AE97" s="96">
        <f t="shared" si="11"/>
        <v>2315329.4399087937</v>
      </c>
      <c r="AF97" s="96">
        <f t="shared" si="11"/>
        <v>0</v>
      </c>
    </row>
    <row r="98" spans="14:32" x14ac:dyDescent="0.25">
      <c r="Y98" s="25">
        <f>SUM(U93:Y97)</f>
        <v>151927692.25879404</v>
      </c>
      <c r="AF98" s="25">
        <f>SUM(AB93:AF97)</f>
        <v>110349309.66034286</v>
      </c>
    </row>
    <row r="99" spans="14:32" x14ac:dyDescent="0.25">
      <c r="Y99" s="25">
        <f>Y98/Y79</f>
        <v>489035.6085248242</v>
      </c>
      <c r="AF99" s="25">
        <f>AF98/AF79</f>
        <v>1429022.0792951544</v>
      </c>
    </row>
    <row r="100" spans="14:32" ht="19.5" thickBot="1" x14ac:dyDescent="0.35">
      <c r="T100" s="104" t="s">
        <v>304</v>
      </c>
      <c r="U100" s="104"/>
      <c r="V100" s="105"/>
      <c r="W100" s="105"/>
      <c r="X100" s="105"/>
      <c r="Y100" s="105"/>
      <c r="AA100" s="104" t="s">
        <v>305</v>
      </c>
      <c r="AB100" s="104"/>
      <c r="AC100" s="105"/>
      <c r="AD100" s="105"/>
      <c r="AE100" s="105"/>
      <c r="AF100" s="105"/>
    </row>
    <row r="101" spans="14:32" ht="15.75" thickBot="1" x14ac:dyDescent="0.3">
      <c r="T101" s="88" t="s">
        <v>173</v>
      </c>
      <c r="U101" s="92" t="s">
        <v>100</v>
      </c>
      <c r="V101" s="92" t="s">
        <v>101</v>
      </c>
      <c r="W101" s="92" t="s">
        <v>102</v>
      </c>
      <c r="X101" s="92" t="s">
        <v>103</v>
      </c>
      <c r="Y101" s="92" t="s">
        <v>104</v>
      </c>
      <c r="AA101" s="88" t="s">
        <v>173</v>
      </c>
      <c r="AB101" s="92" t="s">
        <v>100</v>
      </c>
      <c r="AC101" s="92" t="s">
        <v>101</v>
      </c>
      <c r="AD101" s="92" t="s">
        <v>102</v>
      </c>
      <c r="AE101" s="92" t="s">
        <v>103</v>
      </c>
      <c r="AF101" s="92" t="s">
        <v>104</v>
      </c>
    </row>
    <row r="102" spans="14:32" x14ac:dyDescent="0.25">
      <c r="T102" s="89" t="s">
        <v>100</v>
      </c>
      <c r="U102" s="96">
        <f t="shared" ref="U102:Y106" si="12">U84+U93</f>
        <v>0</v>
      </c>
      <c r="V102" s="96">
        <f t="shared" si="12"/>
        <v>0</v>
      </c>
      <c r="W102" s="96">
        <f t="shared" si="12"/>
        <v>49394722.602347694</v>
      </c>
      <c r="X102" s="96">
        <f t="shared" si="12"/>
        <v>128275712.16894691</v>
      </c>
      <c r="Y102" s="96">
        <f t="shared" si="12"/>
        <v>127756683.58660442</v>
      </c>
      <c r="AA102" s="89" t="s">
        <v>100</v>
      </c>
      <c r="AB102" s="96">
        <f t="shared" ref="AB102:AF106" si="13">AB84+AB93</f>
        <v>0</v>
      </c>
      <c r="AC102" s="96">
        <f t="shared" si="13"/>
        <v>0</v>
      </c>
      <c r="AD102" s="96">
        <f t="shared" si="13"/>
        <v>22940289.014816247</v>
      </c>
      <c r="AE102" s="96">
        <f t="shared" si="13"/>
        <v>59633170.138538465</v>
      </c>
      <c r="AF102" s="96">
        <f t="shared" si="13"/>
        <v>58919583.354858235</v>
      </c>
    </row>
    <row r="103" spans="14:32" x14ac:dyDescent="0.25">
      <c r="T103" s="90" t="s">
        <v>101</v>
      </c>
      <c r="U103" s="96">
        <f t="shared" si="12"/>
        <v>0</v>
      </c>
      <c r="V103" s="96">
        <f t="shared" si="12"/>
        <v>0</v>
      </c>
      <c r="W103" s="96">
        <f t="shared" si="12"/>
        <v>22985010.917625792</v>
      </c>
      <c r="X103" s="96">
        <f t="shared" si="12"/>
        <v>57011427.630643055</v>
      </c>
      <c r="Y103" s="96">
        <f t="shared" si="12"/>
        <v>39245517.180198736</v>
      </c>
      <c r="AA103" s="90" t="s">
        <v>101</v>
      </c>
      <c r="AB103" s="96">
        <f t="shared" si="13"/>
        <v>0</v>
      </c>
      <c r="AC103" s="96">
        <f t="shared" si="13"/>
        <v>0</v>
      </c>
      <c r="AD103" s="96">
        <f t="shared" si="13"/>
        <v>10674881.154894497</v>
      </c>
      <c r="AE103" s="96">
        <f t="shared" si="13"/>
        <v>26503631.172683761</v>
      </c>
      <c r="AF103" s="96">
        <f t="shared" si="13"/>
        <v>18099479.854106776</v>
      </c>
    </row>
    <row r="104" spans="14:32" x14ac:dyDescent="0.25">
      <c r="T104" s="90" t="s">
        <v>102</v>
      </c>
      <c r="U104" s="96">
        <f t="shared" si="12"/>
        <v>50843634.465349883</v>
      </c>
      <c r="V104" s="96">
        <f t="shared" si="12"/>
        <v>23775326.47926335</v>
      </c>
      <c r="W104" s="96">
        <f t="shared" si="12"/>
        <v>0</v>
      </c>
      <c r="X104" s="96">
        <f t="shared" si="12"/>
        <v>0</v>
      </c>
      <c r="Y104" s="96">
        <f t="shared" si="12"/>
        <v>33420492.059342481</v>
      </c>
      <c r="AA104" s="90" t="s">
        <v>102</v>
      </c>
      <c r="AB104" s="96">
        <f t="shared" si="13"/>
        <v>23613204.159250859</v>
      </c>
      <c r="AC104" s="96">
        <f t="shared" si="13"/>
        <v>11041925.779131554</v>
      </c>
      <c r="AD104" s="96">
        <f t="shared" si="13"/>
        <v>0</v>
      </c>
      <c r="AE104" s="96">
        <f t="shared" si="13"/>
        <v>0</v>
      </c>
      <c r="AF104" s="96">
        <f t="shared" si="13"/>
        <v>15536611.37709048</v>
      </c>
    </row>
    <row r="105" spans="14:32" x14ac:dyDescent="0.25">
      <c r="T105" s="90" t="s">
        <v>103</v>
      </c>
      <c r="U105" s="96">
        <f t="shared" si="12"/>
        <v>130978840.20315844</v>
      </c>
      <c r="V105" s="96">
        <f t="shared" si="12"/>
        <v>58362991.647748828</v>
      </c>
      <c r="W105" s="96">
        <f t="shared" si="12"/>
        <v>0</v>
      </c>
      <c r="X105" s="96">
        <f t="shared" si="12"/>
        <v>0</v>
      </c>
      <c r="Y105" s="96">
        <f t="shared" si="12"/>
        <v>23709466.849126887</v>
      </c>
      <c r="AA105" s="90" t="s">
        <v>103</v>
      </c>
      <c r="AB105" s="96">
        <f t="shared" si="13"/>
        <v>60889807.823450208</v>
      </c>
      <c r="AC105" s="96">
        <f t="shared" si="13"/>
        <v>27131950.015139628</v>
      </c>
      <c r="AD105" s="96">
        <f t="shared" si="13"/>
        <v>0</v>
      </c>
      <c r="AE105" s="96">
        <f t="shared" si="13"/>
        <v>0</v>
      </c>
      <c r="AF105" s="96">
        <f t="shared" si="13"/>
        <v>11011338.727111802</v>
      </c>
    </row>
    <row r="106" spans="14:32" ht="15.75" thickBot="1" x14ac:dyDescent="0.3">
      <c r="T106" s="91" t="s">
        <v>104</v>
      </c>
      <c r="U106" s="96">
        <f t="shared" si="12"/>
        <v>125251650.57510236</v>
      </c>
      <c r="V106" s="96">
        <f t="shared" si="12"/>
        <v>27054356.524222109</v>
      </c>
      <c r="W106" s="96">
        <f t="shared" si="12"/>
        <v>34748212.532019153</v>
      </c>
      <c r="X106" s="96">
        <f t="shared" si="12"/>
        <v>20350625.712167248</v>
      </c>
      <c r="Y106" s="96">
        <f t="shared" si="12"/>
        <v>0</v>
      </c>
      <c r="AA106" s="91" t="s">
        <v>104</v>
      </c>
      <c r="AB106" s="96">
        <f t="shared" si="13"/>
        <v>57764297.406723745</v>
      </c>
      <c r="AC106" s="96">
        <f t="shared" si="13"/>
        <v>12477088.23985233</v>
      </c>
      <c r="AD106" s="96">
        <f t="shared" si="13"/>
        <v>15136772.113709474</v>
      </c>
      <c r="AE106" s="96">
        <f t="shared" si="13"/>
        <v>9451399.074104296</v>
      </c>
      <c r="AF106" s="96">
        <f t="shared" si="13"/>
        <v>0</v>
      </c>
    </row>
    <row r="107" spans="14:32" x14ac:dyDescent="0.25">
      <c r="Y107" s="25">
        <f>SUM(U102:Y106)</f>
        <v>953164671.13386738</v>
      </c>
      <c r="AF107" s="25">
        <f>SUM(AB102:AF106)</f>
        <v>440825429.40546232</v>
      </c>
    </row>
    <row r="112" spans="14:32" x14ac:dyDescent="0.25">
      <c r="N112" t="s">
        <v>309</v>
      </c>
      <c r="O112" s="35">
        <v>0.1154</v>
      </c>
    </row>
    <row r="113" spans="14:15" x14ac:dyDescent="0.25">
      <c r="N113" t="s">
        <v>310</v>
      </c>
      <c r="O113" s="35">
        <v>0.1444</v>
      </c>
    </row>
    <row r="114" spans="14:15" x14ac:dyDescent="0.25">
      <c r="N114" t="s">
        <v>311</v>
      </c>
      <c r="O114" s="35">
        <v>0.20480000000000001</v>
      </c>
    </row>
    <row r="115" spans="14:15" x14ac:dyDescent="0.25">
      <c r="N115" t="s">
        <v>312</v>
      </c>
      <c r="O115" s="35">
        <v>0.18690000000000001</v>
      </c>
    </row>
    <row r="116" spans="14:15" x14ac:dyDescent="0.25">
      <c r="N116" t="s">
        <v>313</v>
      </c>
      <c r="O116" s="35">
        <v>0.14349999999999999</v>
      </c>
    </row>
    <row r="117" spans="14:15" x14ac:dyDescent="0.25">
      <c r="N117" t="s">
        <v>314</v>
      </c>
      <c r="O117" s="35">
        <v>0.1152</v>
      </c>
    </row>
    <row r="118" spans="14:15" x14ac:dyDescent="0.25">
      <c r="N118" t="s">
        <v>315</v>
      </c>
      <c r="O118" s="35">
        <v>8.9800000000000005E-2</v>
      </c>
    </row>
    <row r="119" spans="14:15" x14ac:dyDescent="0.25">
      <c r="O119" s="35">
        <f>SUM(O112:O118)</f>
        <v>0.99999999999999989</v>
      </c>
    </row>
    <row r="125" spans="14:15" x14ac:dyDescent="0.25">
      <c r="N125" s="244" t="s">
        <v>316</v>
      </c>
      <c r="O125" s="67">
        <v>0.5625</v>
      </c>
    </row>
    <row r="126" spans="14:15" x14ac:dyDescent="0.25">
      <c r="N126" s="244" t="s">
        <v>317</v>
      </c>
      <c r="O126" s="67">
        <v>0.1094</v>
      </c>
    </row>
    <row r="127" spans="14:15" x14ac:dyDescent="0.25">
      <c r="N127" s="244" t="s">
        <v>318</v>
      </c>
      <c r="O127" s="67">
        <v>0.1094</v>
      </c>
    </row>
    <row r="128" spans="14:15" x14ac:dyDescent="0.25">
      <c r="N128" s="244" t="s">
        <v>319</v>
      </c>
      <c r="O128" s="67">
        <v>6.25E-2</v>
      </c>
    </row>
    <row r="129" spans="14:15" x14ac:dyDescent="0.25">
      <c r="N129" s="244" t="s">
        <v>320</v>
      </c>
      <c r="O129" s="67">
        <v>0.15620000000000001</v>
      </c>
    </row>
    <row r="130" spans="14:15" x14ac:dyDescent="0.25">
      <c r="O130" s="35"/>
    </row>
    <row r="131" spans="14:15" x14ac:dyDescent="0.25">
      <c r="O131" s="35"/>
    </row>
  </sheetData>
  <mergeCells count="8">
    <mergeCell ref="N97:Q97"/>
    <mergeCell ref="L17:P17"/>
    <mergeCell ref="L18:P18"/>
    <mergeCell ref="B60:B61"/>
    <mergeCell ref="D60:D61"/>
    <mergeCell ref="E60:F60"/>
    <mergeCell ref="L50:L54"/>
    <mergeCell ref="L27:L28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0"/>
  <sheetViews>
    <sheetView showGridLines="0" zoomScale="85" zoomScaleNormal="85" workbookViewId="0">
      <selection activeCell="J34" sqref="J34"/>
    </sheetView>
  </sheetViews>
  <sheetFormatPr defaultRowHeight="15" x14ac:dyDescent="0.25"/>
  <cols>
    <col min="3" max="3" width="42.5703125" customWidth="1"/>
    <col min="4" max="4" width="11" customWidth="1"/>
    <col min="5" max="5" width="20.5703125" bestFit="1" customWidth="1"/>
    <col min="6" max="6" width="14.28515625" bestFit="1" customWidth="1"/>
    <col min="7" max="7" width="20" bestFit="1" customWidth="1"/>
    <col min="8" max="8" width="8" bestFit="1" customWidth="1"/>
    <col min="9" max="9" width="20.7109375" bestFit="1" customWidth="1"/>
    <col min="10" max="10" width="21.85546875" bestFit="1" customWidth="1"/>
    <col min="11" max="11" width="18" customWidth="1"/>
    <col min="13" max="13" width="11.140625" bestFit="1" customWidth="1"/>
  </cols>
  <sheetData>
    <row r="2" spans="2:13" ht="18.75" x14ac:dyDescent="0.3">
      <c r="B2" s="259" t="s">
        <v>26</v>
      </c>
      <c r="C2" s="259"/>
      <c r="D2" s="259"/>
      <c r="E2" s="259"/>
    </row>
    <row r="3" spans="2:13" x14ac:dyDescent="0.25">
      <c r="C3" s="251"/>
      <c r="D3" s="251"/>
    </row>
    <row r="4" spans="2:13" ht="15.75" x14ac:dyDescent="0.25">
      <c r="B4" s="12" t="s">
        <v>35</v>
      </c>
      <c r="C4" s="12" t="s">
        <v>36</v>
      </c>
      <c r="D4" s="12"/>
      <c r="E4" s="12" t="s">
        <v>37</v>
      </c>
    </row>
    <row r="5" spans="2:13" x14ac:dyDescent="0.25">
      <c r="B5" s="7">
        <v>1</v>
      </c>
      <c r="C5" s="9" t="s">
        <v>10</v>
      </c>
      <c r="D5" s="7"/>
      <c r="E5" s="7"/>
    </row>
    <row r="6" spans="2:13" x14ac:dyDescent="0.25">
      <c r="B6" s="253"/>
      <c r="C6" s="9" t="s">
        <v>16</v>
      </c>
      <c r="D6" s="7"/>
      <c r="E6" s="5">
        <f>3.33%*7920*900000</f>
        <v>237362400.00000003</v>
      </c>
      <c r="G6" t="s">
        <v>20</v>
      </c>
      <c r="H6" t="s">
        <v>273</v>
      </c>
      <c r="I6" s="35">
        <v>0.35809999999999997</v>
      </c>
      <c r="J6" s="25">
        <f>I6*E16</f>
        <v>1088156886484.5787</v>
      </c>
      <c r="K6" s="20">
        <v>1088157</v>
      </c>
    </row>
    <row r="7" spans="2:13" x14ac:dyDescent="0.25">
      <c r="B7" s="254"/>
      <c r="C7" s="9" t="s">
        <v>11</v>
      </c>
      <c r="D7" s="7"/>
      <c r="E7" s="8">
        <f>J76-K30-K35-K36</f>
        <v>2285461227692</v>
      </c>
      <c r="F7" s="146">
        <v>2285461</v>
      </c>
      <c r="H7" t="s">
        <v>70</v>
      </c>
      <c r="I7" s="35">
        <v>0.64190000000000003</v>
      </c>
      <c r="J7" s="25">
        <f>I7*E16</f>
        <v>1950538691523.1812</v>
      </c>
      <c r="K7" s="20">
        <v>1950538</v>
      </c>
    </row>
    <row r="8" spans="2:13" x14ac:dyDescent="0.25">
      <c r="B8" s="7">
        <v>2</v>
      </c>
      <c r="C8" s="9" t="s">
        <v>12</v>
      </c>
      <c r="D8" s="7"/>
      <c r="E8" s="8"/>
      <c r="F8">
        <v>3038695</v>
      </c>
    </row>
    <row r="9" spans="2:13" ht="29.25" customHeight="1" x14ac:dyDescent="0.25">
      <c r="B9" s="253"/>
      <c r="C9" s="11" t="s">
        <v>29</v>
      </c>
      <c r="D9" s="7"/>
      <c r="E9" s="8">
        <f>K30</f>
        <v>229576171494</v>
      </c>
      <c r="F9" s="69">
        <f>F7/F8</f>
        <v>0.75211924855900314</v>
      </c>
    </row>
    <row r="10" spans="2:13" x14ac:dyDescent="0.25">
      <c r="B10" s="254"/>
      <c r="C10" s="9" t="s">
        <v>27</v>
      </c>
      <c r="D10" s="7"/>
      <c r="E10" s="8">
        <f>K35</f>
        <v>142789136386</v>
      </c>
    </row>
    <row r="11" spans="2:13" x14ac:dyDescent="0.25">
      <c r="B11" s="255"/>
      <c r="C11" s="9" t="s">
        <v>28</v>
      </c>
      <c r="D11" s="7"/>
      <c r="E11" s="8">
        <f>K36</f>
        <v>77035632188</v>
      </c>
      <c r="G11" t="s">
        <v>126</v>
      </c>
      <c r="H11" t="s">
        <v>273</v>
      </c>
      <c r="I11" s="35">
        <v>0.35809999999999997</v>
      </c>
      <c r="J11" s="25">
        <f>I11*G12</f>
        <v>326447065945.3736</v>
      </c>
      <c r="K11" s="20">
        <v>326447</v>
      </c>
    </row>
    <row r="12" spans="2:13" x14ac:dyDescent="0.25">
      <c r="B12" s="256"/>
      <c r="C12" s="13" t="s">
        <v>30</v>
      </c>
      <c r="D12" s="14"/>
      <c r="E12" s="15">
        <f>SUM(E5:E11)</f>
        <v>2735099530160</v>
      </c>
      <c r="G12" s="55">
        <f>E16*30%</f>
        <v>911608673402.32788</v>
      </c>
      <c r="H12" t="s">
        <v>70</v>
      </c>
      <c r="I12" s="35">
        <v>0.64190000000000003</v>
      </c>
      <c r="J12" s="25">
        <f>I12*G12</f>
        <v>585161607456.95435</v>
      </c>
      <c r="K12" s="20">
        <v>585161</v>
      </c>
      <c r="M12" s="25"/>
    </row>
    <row r="13" spans="2:13" x14ac:dyDescent="0.25">
      <c r="B13" s="257"/>
      <c r="C13" s="13" t="s">
        <v>31</v>
      </c>
      <c r="D13" s="16">
        <v>0.1</v>
      </c>
      <c r="E13" s="17">
        <f>E12*D13</f>
        <v>273509953016</v>
      </c>
      <c r="K13" s="20">
        <f>SUM(K11:K12)</f>
        <v>911608</v>
      </c>
      <c r="M13" s="25"/>
    </row>
    <row r="14" spans="2:13" x14ac:dyDescent="0.25">
      <c r="B14" s="257"/>
      <c r="C14" s="13" t="s">
        <v>32</v>
      </c>
      <c r="D14" s="14"/>
      <c r="E14" s="18">
        <f>SUM(E12:E13)</f>
        <v>3008609483176</v>
      </c>
      <c r="K14" s="20"/>
    </row>
    <row r="15" spans="2:13" x14ac:dyDescent="0.25">
      <c r="B15" s="257"/>
      <c r="C15" s="13" t="s">
        <v>33</v>
      </c>
      <c r="D15" s="16">
        <v>0.01</v>
      </c>
      <c r="E15" s="17">
        <f>E14*D15</f>
        <v>30086094831.760002</v>
      </c>
      <c r="G15" t="s">
        <v>127</v>
      </c>
      <c r="H15" t="s">
        <v>273</v>
      </c>
      <c r="I15" s="35">
        <v>0.35809999999999997</v>
      </c>
      <c r="J15" s="25">
        <f>I15*G16</f>
        <v>761709820539.20496</v>
      </c>
      <c r="K15" s="20">
        <v>761709</v>
      </c>
      <c r="M15" s="25"/>
    </row>
    <row r="16" spans="2:13" x14ac:dyDescent="0.25">
      <c r="B16" s="258"/>
      <c r="C16" s="13" t="s">
        <v>34</v>
      </c>
      <c r="D16" s="14"/>
      <c r="E16" s="18">
        <f>SUM(E14:E15)</f>
        <v>3038695578007.7598</v>
      </c>
      <c r="G16" s="25">
        <f>E16*70%</f>
        <v>2127086904605.4316</v>
      </c>
      <c r="H16" t="s">
        <v>70</v>
      </c>
      <c r="I16" s="35">
        <v>0.64190000000000003</v>
      </c>
      <c r="J16" s="25">
        <f>I16*G16</f>
        <v>1365377084066.2266</v>
      </c>
      <c r="K16" s="20">
        <v>1365377</v>
      </c>
    </row>
    <row r="17" spans="3:11" x14ac:dyDescent="0.25">
      <c r="C17" s="236" t="s">
        <v>306</v>
      </c>
      <c r="D17" s="21">
        <v>0.3</v>
      </c>
      <c r="E17" s="69">
        <f>E16*D17</f>
        <v>911608673402.32788</v>
      </c>
      <c r="K17" s="20">
        <f>SUM(K15:K16)</f>
        <v>2127086</v>
      </c>
    </row>
    <row r="18" spans="3:11" x14ac:dyDescent="0.25">
      <c r="C18" s="236" t="s">
        <v>307</v>
      </c>
      <c r="D18" s="21">
        <v>0.7</v>
      </c>
      <c r="E18" s="69">
        <f>E16*D18</f>
        <v>2127086904605.4316</v>
      </c>
    </row>
    <row r="19" spans="3:11" x14ac:dyDescent="0.25">
      <c r="E19" s="69"/>
    </row>
    <row r="30" spans="3:11" x14ac:dyDescent="0.25">
      <c r="I30" s="26" t="s">
        <v>41</v>
      </c>
      <c r="K30" s="25">
        <f>SUM(J31:J34)</f>
        <v>229576171494</v>
      </c>
    </row>
    <row r="31" spans="3:11" x14ac:dyDescent="0.25">
      <c r="I31" t="s">
        <v>195</v>
      </c>
      <c r="J31" s="20">
        <v>37900167240</v>
      </c>
    </row>
    <row r="32" spans="3:11" x14ac:dyDescent="0.25">
      <c r="I32" t="s">
        <v>196</v>
      </c>
      <c r="J32" s="20">
        <v>79587371602</v>
      </c>
    </row>
    <row r="33" spans="9:11" x14ac:dyDescent="0.25">
      <c r="I33" t="s">
        <v>197</v>
      </c>
      <c r="J33" s="20">
        <v>84465483146</v>
      </c>
    </row>
    <row r="34" spans="9:11" x14ac:dyDescent="0.25">
      <c r="I34" t="s">
        <v>198</v>
      </c>
      <c r="J34" s="20">
        <v>27623149506</v>
      </c>
    </row>
    <row r="35" spans="9:11" x14ac:dyDescent="0.25">
      <c r="I35" s="26" t="s">
        <v>27</v>
      </c>
      <c r="K35" s="20">
        <v>142789136386</v>
      </c>
    </row>
    <row r="36" spans="9:11" x14ac:dyDescent="0.25">
      <c r="I36" s="26" t="s">
        <v>28</v>
      </c>
      <c r="K36" s="20">
        <v>77035632188</v>
      </c>
    </row>
    <row r="37" spans="9:11" x14ac:dyDescent="0.25">
      <c r="I37" s="26" t="s">
        <v>42</v>
      </c>
      <c r="K37" s="20">
        <f>SUM(J38:J43)</f>
        <v>905010664845</v>
      </c>
    </row>
    <row r="38" spans="9:11" x14ac:dyDescent="0.25">
      <c r="I38" s="53" t="s">
        <v>199</v>
      </c>
      <c r="J38" s="20">
        <v>486384808597</v>
      </c>
    </row>
    <row r="39" spans="9:11" x14ac:dyDescent="0.25">
      <c r="I39" s="53" t="s">
        <v>200</v>
      </c>
      <c r="J39" s="20">
        <v>326351498794</v>
      </c>
    </row>
    <row r="40" spans="9:11" x14ac:dyDescent="0.25">
      <c r="I40" s="53" t="s">
        <v>201</v>
      </c>
      <c r="J40" s="20">
        <v>23354983001</v>
      </c>
    </row>
    <row r="41" spans="9:11" x14ac:dyDescent="0.25">
      <c r="I41" s="53" t="s">
        <v>202</v>
      </c>
      <c r="J41" s="20"/>
    </row>
    <row r="42" spans="9:11" x14ac:dyDescent="0.25">
      <c r="I42" s="53" t="s">
        <v>203</v>
      </c>
      <c r="J42" s="20">
        <v>36170163203</v>
      </c>
    </row>
    <row r="43" spans="9:11" x14ac:dyDescent="0.25">
      <c r="I43" s="53" t="s">
        <v>204</v>
      </c>
      <c r="J43" s="20">
        <v>32749211250</v>
      </c>
    </row>
    <row r="44" spans="9:11" x14ac:dyDescent="0.25">
      <c r="I44" s="26" t="s">
        <v>43</v>
      </c>
      <c r="K44" s="20">
        <f>SUM(J45:J55)</f>
        <v>13938486351</v>
      </c>
    </row>
    <row r="45" spans="9:11" x14ac:dyDescent="0.25">
      <c r="I45" s="53" t="s">
        <v>205</v>
      </c>
      <c r="J45" s="20">
        <v>8149718396</v>
      </c>
      <c r="K45" s="20"/>
    </row>
    <row r="46" spans="9:11" x14ac:dyDescent="0.25">
      <c r="I46" s="53" t="s">
        <v>206</v>
      </c>
      <c r="J46" s="20">
        <v>121337938</v>
      </c>
      <c r="K46" s="20"/>
    </row>
    <row r="47" spans="9:11" x14ac:dyDescent="0.25">
      <c r="I47" s="53" t="s">
        <v>207</v>
      </c>
      <c r="J47" s="20">
        <v>675690071</v>
      </c>
      <c r="K47" s="20"/>
    </row>
    <row r="48" spans="9:11" x14ac:dyDescent="0.25">
      <c r="I48" s="53" t="s">
        <v>208</v>
      </c>
      <c r="J48" s="20">
        <v>4029688929</v>
      </c>
      <c r="K48" s="20"/>
    </row>
    <row r="49" spans="9:11" x14ac:dyDescent="0.25">
      <c r="I49" s="53" t="s">
        <v>209</v>
      </c>
      <c r="J49" s="20">
        <v>111500550</v>
      </c>
      <c r="K49" s="20"/>
    </row>
    <row r="50" spans="9:11" x14ac:dyDescent="0.25">
      <c r="I50" s="53" t="s">
        <v>210</v>
      </c>
      <c r="J50" s="20">
        <v>108675563</v>
      </c>
      <c r="K50" s="20"/>
    </row>
    <row r="51" spans="9:11" x14ac:dyDescent="0.25">
      <c r="I51" s="53" t="s">
        <v>211</v>
      </c>
      <c r="J51" s="20">
        <v>378431640</v>
      </c>
      <c r="K51" s="20"/>
    </row>
    <row r="52" spans="9:11" x14ac:dyDescent="0.25">
      <c r="I52" s="53" t="s">
        <v>212</v>
      </c>
      <c r="J52" s="20">
        <v>153855764</v>
      </c>
      <c r="K52" s="20"/>
    </row>
    <row r="53" spans="9:11" x14ac:dyDescent="0.25">
      <c r="I53" s="53" t="s">
        <v>213</v>
      </c>
      <c r="K53" s="20"/>
    </row>
    <row r="54" spans="9:11" x14ac:dyDescent="0.25">
      <c r="I54" s="53" t="s">
        <v>214</v>
      </c>
      <c r="J54" s="20">
        <v>185437500</v>
      </c>
      <c r="K54" s="20"/>
    </row>
    <row r="55" spans="9:11" x14ac:dyDescent="0.25">
      <c r="I55" s="53" t="s">
        <v>215</v>
      </c>
      <c r="J55" s="20">
        <v>24150000</v>
      </c>
      <c r="K55" s="20"/>
    </row>
    <row r="56" spans="9:11" x14ac:dyDescent="0.25">
      <c r="I56" s="26" t="s">
        <v>44</v>
      </c>
      <c r="K56" s="20">
        <f>SUM(J57:J62)</f>
        <v>581196465850</v>
      </c>
    </row>
    <row r="57" spans="9:11" x14ac:dyDescent="0.25">
      <c r="I57" s="53" t="s">
        <v>216</v>
      </c>
      <c r="J57" s="20">
        <v>418927183500</v>
      </c>
    </row>
    <row r="58" spans="9:11" x14ac:dyDescent="0.25">
      <c r="I58" s="53" t="s">
        <v>217</v>
      </c>
      <c r="J58" s="20">
        <v>41720371350</v>
      </c>
    </row>
    <row r="59" spans="9:11" x14ac:dyDescent="0.25">
      <c r="I59" s="53" t="s">
        <v>218</v>
      </c>
      <c r="J59" s="20">
        <v>23458220000</v>
      </c>
    </row>
    <row r="60" spans="9:11" x14ac:dyDescent="0.25">
      <c r="I60" s="53" t="s">
        <v>219</v>
      </c>
      <c r="J60" s="20">
        <v>13201365500</v>
      </c>
    </row>
    <row r="61" spans="9:11" x14ac:dyDescent="0.25">
      <c r="I61" s="53" t="s">
        <v>220</v>
      </c>
      <c r="J61" s="20">
        <v>73389325500</v>
      </c>
    </row>
    <row r="62" spans="9:11" x14ac:dyDescent="0.25">
      <c r="I62" s="53" t="s">
        <v>221</v>
      </c>
      <c r="J62" s="20">
        <v>10500000000</v>
      </c>
    </row>
    <row r="63" spans="9:11" x14ac:dyDescent="0.25">
      <c r="I63" s="26" t="s">
        <v>45</v>
      </c>
      <c r="K63" s="20">
        <f>SUM(J64:J69)</f>
        <v>470060446846</v>
      </c>
    </row>
    <row r="64" spans="9:11" x14ac:dyDescent="0.25">
      <c r="I64" s="53" t="s">
        <v>222</v>
      </c>
      <c r="J64" s="20">
        <v>1764000000</v>
      </c>
    </row>
    <row r="65" spans="9:11" x14ac:dyDescent="0.25">
      <c r="I65" s="53" t="s">
        <v>223</v>
      </c>
      <c r="J65" s="20">
        <v>181857201481</v>
      </c>
    </row>
    <row r="66" spans="9:11" x14ac:dyDescent="0.25">
      <c r="I66" s="53" t="s">
        <v>224</v>
      </c>
      <c r="J66" s="20">
        <v>187702759350</v>
      </c>
    </row>
    <row r="67" spans="9:11" x14ac:dyDescent="0.25">
      <c r="I67" s="53" t="s">
        <v>225</v>
      </c>
      <c r="J67" s="20">
        <v>72542661015</v>
      </c>
    </row>
    <row r="68" spans="9:11" x14ac:dyDescent="0.25">
      <c r="I68" s="53" t="s">
        <v>226</v>
      </c>
      <c r="J68" s="20">
        <v>21468825000</v>
      </c>
    </row>
    <row r="69" spans="9:11" x14ac:dyDescent="0.25">
      <c r="I69" s="53" t="s">
        <v>227</v>
      </c>
      <c r="J69" s="20">
        <v>4725000000</v>
      </c>
    </row>
    <row r="70" spans="9:11" x14ac:dyDescent="0.25">
      <c r="I70" s="26" t="s">
        <v>46</v>
      </c>
      <c r="K70" s="20">
        <f>J71</f>
        <v>255255163800</v>
      </c>
    </row>
    <row r="71" spans="9:11" x14ac:dyDescent="0.25">
      <c r="I71" s="53" t="s">
        <v>228</v>
      </c>
      <c r="J71" s="20">
        <v>255255163800</v>
      </c>
    </row>
    <row r="72" spans="9:11" x14ac:dyDescent="0.25">
      <c r="I72" s="26" t="s">
        <v>47</v>
      </c>
      <c r="K72" s="20">
        <f>SUM(J73:J74)</f>
        <v>60000000000</v>
      </c>
    </row>
    <row r="73" spans="9:11" x14ac:dyDescent="0.25">
      <c r="I73" s="53" t="s">
        <v>229</v>
      </c>
      <c r="J73" s="20">
        <v>25000000000</v>
      </c>
    </row>
    <row r="74" spans="9:11" x14ac:dyDescent="0.25">
      <c r="I74" s="53" t="s">
        <v>230</v>
      </c>
      <c r="J74" s="20">
        <v>35000000000</v>
      </c>
    </row>
    <row r="75" spans="9:11" x14ac:dyDescent="0.25">
      <c r="I75" s="53" t="s">
        <v>231</v>
      </c>
      <c r="J75" s="20"/>
    </row>
    <row r="76" spans="9:11" x14ac:dyDescent="0.25">
      <c r="I76" t="s">
        <v>48</v>
      </c>
      <c r="J76" s="20">
        <f>SUM(K30:K72)</f>
        <v>2734862167760</v>
      </c>
    </row>
    <row r="77" spans="9:11" x14ac:dyDescent="0.25">
      <c r="I77" t="s">
        <v>49</v>
      </c>
      <c r="J77" s="20">
        <f>J76*K77</f>
        <v>273486216776</v>
      </c>
      <c r="K77" s="21">
        <v>0.1</v>
      </c>
    </row>
    <row r="78" spans="9:11" x14ac:dyDescent="0.25">
      <c r="I78" t="s">
        <v>50</v>
      </c>
      <c r="J78" s="20">
        <f>J76+J77</f>
        <v>3008348384536</v>
      </c>
    </row>
    <row r="79" spans="9:11" x14ac:dyDescent="0.25">
      <c r="I79" t="s">
        <v>51</v>
      </c>
      <c r="J79" s="20">
        <f>J78*K79</f>
        <v>30083483845.360001</v>
      </c>
      <c r="K79" s="21">
        <v>0.01</v>
      </c>
    </row>
    <row r="80" spans="9:11" x14ac:dyDescent="0.25">
      <c r="I80" t="s">
        <v>52</v>
      </c>
      <c r="J80" s="20">
        <f>J78+J79</f>
        <v>3038431868381.3599</v>
      </c>
    </row>
  </sheetData>
  <mergeCells count="5">
    <mergeCell ref="C3:D3"/>
    <mergeCell ref="B6:B7"/>
    <mergeCell ref="B9:B11"/>
    <mergeCell ref="B12:B16"/>
    <mergeCell ref="B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77"/>
  <sheetViews>
    <sheetView showGridLines="0" topLeftCell="A35" zoomScale="85" zoomScaleNormal="85" workbookViewId="0">
      <selection activeCell="U52" sqref="U52"/>
    </sheetView>
  </sheetViews>
  <sheetFormatPr defaultRowHeight="15" x14ac:dyDescent="0.25"/>
  <cols>
    <col min="1" max="1" width="19" bestFit="1" customWidth="1"/>
    <col min="2" max="2" width="18" bestFit="1" customWidth="1"/>
    <col min="3" max="3" width="19" bestFit="1" customWidth="1"/>
    <col min="4" max="4" width="18" bestFit="1" customWidth="1"/>
    <col min="5" max="5" width="11.28515625" customWidth="1"/>
    <col min="6" max="7" width="18" bestFit="1" customWidth="1"/>
    <col min="8" max="8" width="13.42578125" bestFit="1" customWidth="1"/>
    <col min="9" max="9" width="10.85546875" bestFit="1" customWidth="1"/>
    <col min="10" max="12" width="11.5703125" bestFit="1" customWidth="1"/>
    <col min="13" max="14" width="10.85546875" bestFit="1" customWidth="1"/>
    <col min="15" max="15" width="10.28515625" bestFit="1" customWidth="1"/>
    <col min="16" max="18" width="10.42578125" bestFit="1" customWidth="1"/>
    <col min="19" max="19" width="12.28515625" bestFit="1" customWidth="1"/>
    <col min="20" max="20" width="15.140625" bestFit="1" customWidth="1"/>
    <col min="21" max="21" width="16.28515625" bestFit="1" customWidth="1"/>
    <col min="22" max="22" width="16.85546875" bestFit="1" customWidth="1"/>
    <col min="23" max="23" width="10.42578125" bestFit="1" customWidth="1"/>
    <col min="24" max="24" width="10.85546875" bestFit="1" customWidth="1"/>
    <col min="25" max="30" width="10.42578125" bestFit="1" customWidth="1"/>
    <col min="31" max="33" width="11.140625" bestFit="1" customWidth="1"/>
  </cols>
  <sheetData>
    <row r="5" spans="3:33" x14ac:dyDescent="0.25">
      <c r="C5" t="s">
        <v>24</v>
      </c>
      <c r="D5" s="22">
        <v>2</v>
      </c>
      <c r="E5" s="22">
        <f t="shared" ref="E5:L5" si="0">D5+1</f>
        <v>3</v>
      </c>
      <c r="F5" s="22">
        <f t="shared" si="0"/>
        <v>4</v>
      </c>
      <c r="G5" s="22">
        <f t="shared" si="0"/>
        <v>5</v>
      </c>
      <c r="H5" s="22">
        <f t="shared" si="0"/>
        <v>6</v>
      </c>
      <c r="I5" s="22">
        <f t="shared" si="0"/>
        <v>7</v>
      </c>
      <c r="J5" s="22">
        <f t="shared" si="0"/>
        <v>8</v>
      </c>
      <c r="K5" s="22">
        <f t="shared" si="0"/>
        <v>9</v>
      </c>
      <c r="L5" s="22">
        <f t="shared" si="0"/>
        <v>10</v>
      </c>
      <c r="M5" s="22">
        <v>12</v>
      </c>
      <c r="N5" s="22">
        <f>M5+1</f>
        <v>13</v>
      </c>
      <c r="O5" s="22">
        <f t="shared" ref="O5:W5" si="1">N5+1</f>
        <v>14</v>
      </c>
      <c r="P5" s="22">
        <f t="shared" si="1"/>
        <v>15</v>
      </c>
      <c r="Q5" s="22">
        <f t="shared" si="1"/>
        <v>16</v>
      </c>
      <c r="R5" s="22">
        <f t="shared" si="1"/>
        <v>17</v>
      </c>
      <c r="S5" s="22">
        <f t="shared" si="1"/>
        <v>18</v>
      </c>
      <c r="T5" s="22">
        <f t="shared" si="1"/>
        <v>19</v>
      </c>
      <c r="U5" s="22">
        <f t="shared" si="1"/>
        <v>20</v>
      </c>
      <c r="V5" s="22">
        <f t="shared" si="1"/>
        <v>21</v>
      </c>
      <c r="W5" s="22">
        <f t="shared" si="1"/>
        <v>22</v>
      </c>
      <c r="X5" s="22">
        <f>W5+1</f>
        <v>23</v>
      </c>
      <c r="Y5" s="22">
        <f t="shared" ref="Y5:AG5" si="2">X5+1</f>
        <v>24</v>
      </c>
      <c r="Z5" s="22">
        <f t="shared" si="2"/>
        <v>25</v>
      </c>
      <c r="AA5" s="22">
        <f t="shared" si="2"/>
        <v>26</v>
      </c>
      <c r="AB5" s="22">
        <f t="shared" si="2"/>
        <v>27</v>
      </c>
      <c r="AC5" s="22">
        <f t="shared" si="2"/>
        <v>28</v>
      </c>
      <c r="AD5" s="22">
        <f t="shared" si="2"/>
        <v>29</v>
      </c>
      <c r="AE5" s="22">
        <f t="shared" si="2"/>
        <v>30</v>
      </c>
      <c r="AF5" s="22">
        <f t="shared" si="2"/>
        <v>31</v>
      </c>
      <c r="AG5" s="22">
        <f t="shared" si="2"/>
        <v>32</v>
      </c>
    </row>
    <row r="6" spans="3:33" x14ac:dyDescent="0.25">
      <c r="C6" t="s">
        <v>53</v>
      </c>
      <c r="D6" s="10">
        <f>G39</f>
        <v>211352</v>
      </c>
      <c r="E6" s="10">
        <f>(D6*5%)+D6</f>
        <v>221919.6</v>
      </c>
      <c r="F6" s="10">
        <f t="shared" ref="F6:AG6" si="3">(E6*5%)+E6</f>
        <v>233015.58000000002</v>
      </c>
      <c r="G6" s="10">
        <f t="shared" si="3"/>
        <v>244666.35900000003</v>
      </c>
      <c r="H6" s="10">
        <f t="shared" si="3"/>
        <v>256899.67695000002</v>
      </c>
      <c r="I6" s="10">
        <f t="shared" si="3"/>
        <v>269744.66079750005</v>
      </c>
      <c r="J6" s="10">
        <f t="shared" si="3"/>
        <v>283231.89383737504</v>
      </c>
      <c r="K6" s="10">
        <f t="shared" si="3"/>
        <v>297393.4885292438</v>
      </c>
      <c r="L6" s="10">
        <f t="shared" si="3"/>
        <v>312263.16295570601</v>
      </c>
      <c r="M6" s="10">
        <f t="shared" si="3"/>
        <v>327876.3211034913</v>
      </c>
      <c r="N6" s="10">
        <f t="shared" si="3"/>
        <v>344270.13715866586</v>
      </c>
      <c r="O6" s="10">
        <f t="shared" si="3"/>
        <v>361483.64401659917</v>
      </c>
      <c r="P6" s="10">
        <f t="shared" si="3"/>
        <v>379557.82621742913</v>
      </c>
      <c r="Q6" s="10">
        <f t="shared" si="3"/>
        <v>398535.71752830059</v>
      </c>
      <c r="R6" s="10">
        <f t="shared" si="3"/>
        <v>418462.50340471562</v>
      </c>
      <c r="S6" s="10">
        <f t="shared" si="3"/>
        <v>439385.62857495144</v>
      </c>
      <c r="T6" s="10">
        <f t="shared" si="3"/>
        <v>461354.91000369901</v>
      </c>
      <c r="U6" s="10">
        <f t="shared" si="3"/>
        <v>484422.65550388396</v>
      </c>
      <c r="V6" s="10">
        <f t="shared" si="3"/>
        <v>508643.78827907814</v>
      </c>
      <c r="W6" s="10">
        <f t="shared" si="3"/>
        <v>534075.97769303201</v>
      </c>
      <c r="X6" s="10">
        <f t="shared" si="3"/>
        <v>560779.77657768363</v>
      </c>
      <c r="Y6" s="10">
        <f t="shared" si="3"/>
        <v>588818.76540656784</v>
      </c>
      <c r="Z6" s="10">
        <f t="shared" si="3"/>
        <v>618259.70367689617</v>
      </c>
      <c r="AA6" s="10">
        <f t="shared" si="3"/>
        <v>649172.68886074098</v>
      </c>
      <c r="AB6" s="10">
        <f t="shared" si="3"/>
        <v>681631.32330377807</v>
      </c>
      <c r="AC6" s="10">
        <f t="shared" si="3"/>
        <v>715712.88946896698</v>
      </c>
      <c r="AD6" s="10">
        <f t="shared" si="3"/>
        <v>751498.53394241538</v>
      </c>
      <c r="AE6" s="10">
        <f t="shared" si="3"/>
        <v>789073.46063953615</v>
      </c>
      <c r="AF6" s="10">
        <f t="shared" si="3"/>
        <v>828527.13367151294</v>
      </c>
      <c r="AG6" s="10">
        <f t="shared" si="3"/>
        <v>869953.49035508861</v>
      </c>
    </row>
    <row r="7" spans="3:33" x14ac:dyDescent="0.25">
      <c r="C7" t="s">
        <v>13</v>
      </c>
      <c r="D7" s="10">
        <f>V52</f>
        <v>14105</v>
      </c>
      <c r="E7" s="10">
        <f>(D7*5%)+D7</f>
        <v>14810.25</v>
      </c>
      <c r="F7" s="10">
        <f t="shared" ref="F7:AG7" si="4">(E7*5%)+E7</f>
        <v>15550.762500000001</v>
      </c>
      <c r="G7" s="10">
        <f t="shared" si="4"/>
        <v>16328.300625</v>
      </c>
      <c r="H7" s="10">
        <f t="shared" si="4"/>
        <v>17144.715656249999</v>
      </c>
      <c r="I7" s="10">
        <f t="shared" si="4"/>
        <v>18001.951439062497</v>
      </c>
      <c r="J7" s="10">
        <f t="shared" si="4"/>
        <v>18902.049011015621</v>
      </c>
      <c r="K7" s="10">
        <f t="shared" si="4"/>
        <v>19847.151461566402</v>
      </c>
      <c r="L7" s="10">
        <f t="shared" si="4"/>
        <v>20839.509034644721</v>
      </c>
      <c r="M7" s="10">
        <f t="shared" si="4"/>
        <v>21881.484486376958</v>
      </c>
      <c r="N7" s="10">
        <f t="shared" si="4"/>
        <v>22975.558710695805</v>
      </c>
      <c r="O7" s="10">
        <f t="shared" si="4"/>
        <v>24124.336646230593</v>
      </c>
      <c r="P7" s="10">
        <f t="shared" si="4"/>
        <v>25330.553478542122</v>
      </c>
      <c r="Q7" s="10">
        <f t="shared" si="4"/>
        <v>26597.081152469229</v>
      </c>
      <c r="R7" s="10">
        <f t="shared" si="4"/>
        <v>27926.935210092692</v>
      </c>
      <c r="S7" s="10">
        <f t="shared" si="4"/>
        <v>29323.281970597327</v>
      </c>
      <c r="T7" s="10">
        <f t="shared" si="4"/>
        <v>30789.446069127192</v>
      </c>
      <c r="U7" s="10">
        <f t="shared" si="4"/>
        <v>32328.918372583554</v>
      </c>
      <c r="V7" s="10">
        <f t="shared" si="4"/>
        <v>33945.364291212732</v>
      </c>
      <c r="W7" s="10">
        <f t="shared" si="4"/>
        <v>35642.63250577337</v>
      </c>
      <c r="X7" s="10">
        <f t="shared" si="4"/>
        <v>37424.764131062038</v>
      </c>
      <c r="Y7" s="10">
        <f t="shared" si="4"/>
        <v>39296.002337615137</v>
      </c>
      <c r="Z7" s="10">
        <f t="shared" si="4"/>
        <v>41260.80245449589</v>
      </c>
      <c r="AA7" s="10">
        <f t="shared" si="4"/>
        <v>43323.842577220683</v>
      </c>
      <c r="AB7" s="10">
        <f t="shared" si="4"/>
        <v>45490.034706081715</v>
      </c>
      <c r="AC7" s="10">
        <f t="shared" si="4"/>
        <v>47764.536441385804</v>
      </c>
      <c r="AD7" s="10">
        <f t="shared" si="4"/>
        <v>50152.763263455097</v>
      </c>
      <c r="AE7" s="10">
        <f t="shared" si="4"/>
        <v>52660.401426627854</v>
      </c>
      <c r="AF7" s="10">
        <f t="shared" si="4"/>
        <v>55293.421497959243</v>
      </c>
      <c r="AG7" s="10">
        <f t="shared" si="4"/>
        <v>58058.092572857204</v>
      </c>
    </row>
    <row r="8" spans="3:33" x14ac:dyDescent="0.25">
      <c r="C8" t="s">
        <v>54</v>
      </c>
      <c r="D8" s="10">
        <f>C50</f>
        <v>57137</v>
      </c>
      <c r="E8" s="10">
        <f t="shared" ref="E8:M8" si="5">D50</f>
        <v>59993.85</v>
      </c>
      <c r="F8" s="10">
        <f t="shared" si="5"/>
        <v>62993.542499999996</v>
      </c>
      <c r="G8" s="10">
        <f t="shared" si="5"/>
        <v>66143.219624999998</v>
      </c>
      <c r="H8" s="10">
        <f t="shared" si="5"/>
        <v>69450.380606249993</v>
      </c>
      <c r="I8" s="10">
        <f t="shared" si="5"/>
        <v>72922.899636562492</v>
      </c>
      <c r="J8" s="10">
        <f t="shared" si="5"/>
        <v>76569.044618390617</v>
      </c>
      <c r="K8" s="10">
        <f t="shared" si="5"/>
        <v>80397.496849310148</v>
      </c>
      <c r="L8" s="10">
        <f t="shared" si="5"/>
        <v>84417.371691775654</v>
      </c>
      <c r="M8" s="10">
        <f t="shared" si="5"/>
        <v>202912.24027636443</v>
      </c>
      <c r="N8" s="6">
        <f t="shared" ref="N8:W8" si="6">C55</f>
        <v>93070.152290182654</v>
      </c>
      <c r="O8" s="6">
        <f t="shared" si="6"/>
        <v>97723.659904691784</v>
      </c>
      <c r="P8" s="6">
        <f t="shared" si="6"/>
        <v>102609.84289992637</v>
      </c>
      <c r="Q8" s="6">
        <f t="shared" si="6"/>
        <v>107740.33504492269</v>
      </c>
      <c r="R8" s="6">
        <f t="shared" si="6"/>
        <v>113127.35179716881</v>
      </c>
      <c r="S8" s="6">
        <f t="shared" si="6"/>
        <v>118783.71938702726</v>
      </c>
      <c r="T8" s="6">
        <f t="shared" si="6"/>
        <v>124722.90535637863</v>
      </c>
      <c r="U8" s="6">
        <f t="shared" si="6"/>
        <v>130959.05062419757</v>
      </c>
      <c r="V8" s="6">
        <f t="shared" si="6"/>
        <v>137507.00315540744</v>
      </c>
      <c r="W8" s="10">
        <f t="shared" si="6"/>
        <v>258656.35331317782</v>
      </c>
      <c r="X8" s="6">
        <f t="shared" ref="X8:AG8" si="7">C60</f>
        <v>151601.4709788367</v>
      </c>
      <c r="Y8" s="6">
        <f t="shared" si="7"/>
        <v>159181.54452777855</v>
      </c>
      <c r="Z8" s="6">
        <f t="shared" si="7"/>
        <v>167140.62175416749</v>
      </c>
      <c r="AA8" s="6">
        <f t="shared" si="7"/>
        <v>175497.65284187585</v>
      </c>
      <c r="AB8" s="6">
        <f t="shared" si="7"/>
        <v>184272.53548396964</v>
      </c>
      <c r="AC8" s="6">
        <f t="shared" si="7"/>
        <v>193486.16225816813</v>
      </c>
      <c r="AD8" s="6">
        <f t="shared" si="7"/>
        <v>203160.47037107655</v>
      </c>
      <c r="AE8" s="6">
        <f t="shared" si="7"/>
        <v>213318.49388963036</v>
      </c>
      <c r="AF8" s="6">
        <f t="shared" si="7"/>
        <v>223984.41858411187</v>
      </c>
      <c r="AG8" s="6">
        <f t="shared" si="7"/>
        <v>349457.6395133175</v>
      </c>
    </row>
    <row r="9" spans="3:33" x14ac:dyDescent="0.25">
      <c r="C9" s="26" t="s">
        <v>61</v>
      </c>
      <c r="D9" s="27">
        <f>SUM(D6:D8)</f>
        <v>282594</v>
      </c>
      <c r="E9" s="27">
        <f t="shared" ref="E9:M9" si="8">SUM(E6:E8)</f>
        <v>296723.7</v>
      </c>
      <c r="F9" s="27">
        <f t="shared" si="8"/>
        <v>311559.88500000001</v>
      </c>
      <c r="G9" s="27">
        <f t="shared" si="8"/>
        <v>327137.87925</v>
      </c>
      <c r="H9" s="27">
        <f t="shared" si="8"/>
        <v>343494.77321250003</v>
      </c>
      <c r="I9" s="27">
        <f t="shared" si="8"/>
        <v>360669.51187312504</v>
      </c>
      <c r="J9" s="27">
        <f t="shared" si="8"/>
        <v>378702.98746678128</v>
      </c>
      <c r="K9" s="27">
        <f t="shared" si="8"/>
        <v>397638.13684012031</v>
      </c>
      <c r="L9" s="27">
        <f t="shared" si="8"/>
        <v>417520.04368212633</v>
      </c>
      <c r="M9" s="27">
        <f t="shared" si="8"/>
        <v>552670.04586623271</v>
      </c>
      <c r="N9" s="27">
        <f t="shared" ref="N9:W9" si="9">SUM(N6:N8)</f>
        <v>460315.84815954434</v>
      </c>
      <c r="O9" s="27">
        <f t="shared" si="9"/>
        <v>483331.64056752156</v>
      </c>
      <c r="P9" s="27">
        <f t="shared" si="9"/>
        <v>507498.22259589762</v>
      </c>
      <c r="Q9" s="27">
        <f t="shared" si="9"/>
        <v>532873.13372569252</v>
      </c>
      <c r="R9" s="27">
        <f t="shared" si="9"/>
        <v>559516.7904119771</v>
      </c>
      <c r="S9" s="27">
        <f t="shared" si="9"/>
        <v>587492.62993257609</v>
      </c>
      <c r="T9" s="27">
        <f t="shared" si="9"/>
        <v>616867.26142920484</v>
      </c>
      <c r="U9" s="27">
        <f t="shared" si="9"/>
        <v>647710.62450066512</v>
      </c>
      <c r="V9" s="27">
        <f t="shared" si="9"/>
        <v>680096.15572569822</v>
      </c>
      <c r="W9" s="27">
        <f t="shared" si="9"/>
        <v>828374.96351198317</v>
      </c>
      <c r="X9" s="27">
        <f t="shared" ref="X9:AG9" si="10">SUM(X6:X8)</f>
        <v>749806.01168758236</v>
      </c>
      <c r="Y9" s="27">
        <f t="shared" si="10"/>
        <v>787296.31227196148</v>
      </c>
      <c r="Z9" s="27">
        <f t="shared" si="10"/>
        <v>826661.12788555957</v>
      </c>
      <c r="AA9" s="27">
        <f t="shared" si="10"/>
        <v>867994.18427983741</v>
      </c>
      <c r="AB9" s="27">
        <f t="shared" si="10"/>
        <v>911393.89349382941</v>
      </c>
      <c r="AC9" s="27">
        <f t="shared" si="10"/>
        <v>956963.58816852083</v>
      </c>
      <c r="AD9" s="27">
        <f t="shared" si="10"/>
        <v>1004811.7675769471</v>
      </c>
      <c r="AE9" s="27">
        <f t="shared" si="10"/>
        <v>1055052.3559557945</v>
      </c>
      <c r="AF9" s="27">
        <f t="shared" si="10"/>
        <v>1107804.9737535841</v>
      </c>
      <c r="AG9" s="27">
        <f t="shared" si="10"/>
        <v>1277469.2224412633</v>
      </c>
    </row>
    <row r="12" spans="3:33" x14ac:dyDescent="0.25">
      <c r="C12" t="s">
        <v>53</v>
      </c>
    </row>
    <row r="13" spans="3:33" x14ac:dyDescent="0.25">
      <c r="C13" t="s">
        <v>13</v>
      </c>
      <c r="E13" s="69"/>
    </row>
    <row r="14" spans="3:33" x14ac:dyDescent="0.25">
      <c r="C14" t="s">
        <v>54</v>
      </c>
    </row>
    <row r="15" spans="3:33" x14ac:dyDescent="0.25">
      <c r="C15" s="26" t="s">
        <v>61</v>
      </c>
    </row>
    <row r="17" spans="2:9" x14ac:dyDescent="0.25">
      <c r="E17" s="30"/>
    </row>
    <row r="18" spans="2:9" x14ac:dyDescent="0.25">
      <c r="C18" t="s">
        <v>53</v>
      </c>
    </row>
    <row r="19" spans="2:9" x14ac:dyDescent="0.25">
      <c r="C19" t="s">
        <v>13</v>
      </c>
      <c r="H19" s="52"/>
    </row>
    <row r="20" spans="2:9" x14ac:dyDescent="0.25">
      <c r="C20" t="s">
        <v>54</v>
      </c>
      <c r="I20" s="42"/>
    </row>
    <row r="21" spans="2:9" x14ac:dyDescent="0.25">
      <c r="C21" s="26" t="s">
        <v>61</v>
      </c>
    </row>
    <row r="32" spans="2:9" x14ac:dyDescent="0.25">
      <c r="B32" t="s">
        <v>187</v>
      </c>
      <c r="C32" s="107">
        <v>3296212</v>
      </c>
      <c r="D32" s="107">
        <v>3583312</v>
      </c>
    </row>
    <row r="33" spans="1:25" x14ac:dyDescent="0.25">
      <c r="B33" t="s">
        <v>188</v>
      </c>
      <c r="C33" s="25">
        <f>(25%*C32)+C32</f>
        <v>4120265</v>
      </c>
      <c r="D33" s="25">
        <f>(25%*D32)+D32</f>
        <v>4479140</v>
      </c>
    </row>
    <row r="34" spans="1:25" x14ac:dyDescent="0.25">
      <c r="B34" t="s">
        <v>73</v>
      </c>
      <c r="F34" t="s">
        <v>74</v>
      </c>
      <c r="G34">
        <v>18</v>
      </c>
    </row>
    <row r="35" spans="1:25" x14ac:dyDescent="0.25">
      <c r="B35" t="s">
        <v>70</v>
      </c>
      <c r="C35">
        <v>184</v>
      </c>
      <c r="D35">
        <v>90</v>
      </c>
      <c r="F35" t="s">
        <v>53</v>
      </c>
      <c r="G35">
        <v>900</v>
      </c>
      <c r="H35" t="s">
        <v>185</v>
      </c>
      <c r="I35">
        <f>G35/G34</f>
        <v>50</v>
      </c>
    </row>
    <row r="36" spans="1:25" x14ac:dyDescent="0.25">
      <c r="B36" t="s">
        <v>71</v>
      </c>
      <c r="C36">
        <v>313</v>
      </c>
      <c r="D36">
        <f>(C36-C35)</f>
        <v>129</v>
      </c>
      <c r="E36" s="52">
        <f>C36/C35</f>
        <v>1.701086956521739</v>
      </c>
      <c r="F36" t="s">
        <v>75</v>
      </c>
      <c r="G36">
        <v>7200</v>
      </c>
      <c r="H36" t="s">
        <v>186</v>
      </c>
      <c r="I36">
        <f>G36/G34</f>
        <v>400</v>
      </c>
    </row>
    <row r="37" spans="1:25" x14ac:dyDescent="0.25">
      <c r="B37" t="s">
        <v>72</v>
      </c>
      <c r="C37">
        <v>456</v>
      </c>
      <c r="D37">
        <f>C37-C36</f>
        <v>143</v>
      </c>
      <c r="E37" s="52">
        <f>C37/C36</f>
        <v>1.4568690095846646</v>
      </c>
      <c r="F37" t="s">
        <v>184</v>
      </c>
      <c r="G37" s="20">
        <v>1812</v>
      </c>
      <c r="H37" t="s">
        <v>185</v>
      </c>
    </row>
    <row r="38" spans="1:25" x14ac:dyDescent="0.25">
      <c r="G38" s="25">
        <f>G34*G35*G36*G37</f>
        <v>211351680000</v>
      </c>
      <c r="H38" s="25">
        <f>G38/G37</f>
        <v>116640000</v>
      </c>
    </row>
    <row r="39" spans="1:25" x14ac:dyDescent="0.25">
      <c r="B39" s="20">
        <f>13200000000</f>
        <v>13200000000</v>
      </c>
      <c r="C39" s="25"/>
      <c r="G39" s="25">
        <v>211352</v>
      </c>
    </row>
    <row r="40" spans="1:25" x14ac:dyDescent="0.25">
      <c r="B40" s="25">
        <f>B39/13</f>
        <v>1015384615.3846154</v>
      </c>
      <c r="C40" s="25">
        <f>C41*13</f>
        <v>13199999999.999998</v>
      </c>
      <c r="G40" s="20">
        <f>18*9*72*18.12</f>
        <v>211351.68000000002</v>
      </c>
      <c r="H40" s="69">
        <f>G40*5%</f>
        <v>10567.584000000003</v>
      </c>
    </row>
    <row r="41" spans="1:25" x14ac:dyDescent="0.25">
      <c r="B41" s="25">
        <f>B40/C35</f>
        <v>5518394.6488294313</v>
      </c>
      <c r="C41" s="25">
        <f>B41*C35</f>
        <v>1015384615.3846153</v>
      </c>
    </row>
    <row r="42" spans="1:25" x14ac:dyDescent="0.25">
      <c r="B42" s="20"/>
    </row>
    <row r="45" spans="1:25" x14ac:dyDescent="0.25">
      <c r="C45" s="260" t="s">
        <v>109</v>
      </c>
      <c r="D45" s="260"/>
      <c r="E45" s="260"/>
      <c r="F45" s="260"/>
      <c r="G45" s="260"/>
      <c r="H45" s="260"/>
      <c r="I45" s="260"/>
      <c r="J45" s="260"/>
      <c r="K45" s="260"/>
      <c r="L45" s="260"/>
      <c r="P45" s="260" t="s">
        <v>194</v>
      </c>
      <c r="Q45" s="260"/>
      <c r="R45" s="260"/>
      <c r="S45" s="260"/>
      <c r="T45" s="260"/>
      <c r="U45" s="260"/>
      <c r="V45" s="260"/>
      <c r="W45" s="108"/>
      <c r="X45" s="108"/>
      <c r="Y45" s="108"/>
    </row>
    <row r="46" spans="1:25" x14ac:dyDescent="0.25">
      <c r="A46" s="20"/>
    </row>
    <row r="47" spans="1:25" x14ac:dyDescent="0.25">
      <c r="C47" s="22">
        <v>2</v>
      </c>
      <c r="D47" s="22">
        <f t="shared" ref="D47:L47" si="11">C47+1</f>
        <v>3</v>
      </c>
      <c r="E47" s="22">
        <f t="shared" si="11"/>
        <v>4</v>
      </c>
      <c r="F47" s="22">
        <f t="shared" si="11"/>
        <v>5</v>
      </c>
      <c r="G47" s="22">
        <f t="shared" si="11"/>
        <v>6</v>
      </c>
      <c r="H47" s="22">
        <f t="shared" si="11"/>
        <v>7</v>
      </c>
      <c r="I47" s="22">
        <f t="shared" si="11"/>
        <v>8</v>
      </c>
      <c r="J47" s="22">
        <f t="shared" si="11"/>
        <v>9</v>
      </c>
      <c r="K47" s="22">
        <f t="shared" si="11"/>
        <v>10</v>
      </c>
      <c r="L47" s="22">
        <f t="shared" si="11"/>
        <v>11</v>
      </c>
      <c r="P47" t="s">
        <v>191</v>
      </c>
      <c r="R47">
        <v>5</v>
      </c>
      <c r="S47" s="25">
        <v>15000000</v>
      </c>
      <c r="T47" s="25">
        <f>S47*R47</f>
        <v>75000000</v>
      </c>
    </row>
    <row r="48" spans="1:25" x14ac:dyDescent="0.25">
      <c r="B48" s="50" t="s">
        <v>107</v>
      </c>
      <c r="C48" s="1">
        <f>D72</f>
        <v>57137</v>
      </c>
      <c r="D48" s="1">
        <f>(C48*5%)+C48</f>
        <v>59993.85</v>
      </c>
      <c r="E48" s="1">
        <f t="shared" ref="E48:L48" si="12">(D48*5%)+D48</f>
        <v>62993.542499999996</v>
      </c>
      <c r="F48" s="1">
        <f t="shared" si="12"/>
        <v>66143.219624999998</v>
      </c>
      <c r="G48" s="1">
        <f t="shared" si="12"/>
        <v>69450.380606249993</v>
      </c>
      <c r="H48" s="1">
        <f t="shared" si="12"/>
        <v>72922.899636562492</v>
      </c>
      <c r="I48" s="1">
        <f t="shared" si="12"/>
        <v>76569.044618390617</v>
      </c>
      <c r="J48" s="1">
        <f t="shared" si="12"/>
        <v>80397.496849310148</v>
      </c>
      <c r="K48" s="1">
        <f t="shared" si="12"/>
        <v>84417.371691775654</v>
      </c>
      <c r="L48" s="1">
        <f t="shared" si="12"/>
        <v>88638.240276364435</v>
      </c>
      <c r="P48" t="s">
        <v>193</v>
      </c>
      <c r="R48">
        <v>30</v>
      </c>
      <c r="S48" s="25">
        <v>8000000</v>
      </c>
      <c r="T48" s="25">
        <f>S48*R48</f>
        <v>240000000</v>
      </c>
    </row>
    <row r="49" spans="2:27" x14ac:dyDescent="0.25">
      <c r="B49" s="50" t="s">
        <v>108</v>
      </c>
      <c r="C49" s="1">
        <v>0</v>
      </c>
      <c r="D49" s="1"/>
      <c r="E49" s="1"/>
      <c r="I49" s="1"/>
      <c r="J49" s="1"/>
      <c r="L49" s="1">
        <f>D73</f>
        <v>114274</v>
      </c>
      <c r="P49" t="s">
        <v>192</v>
      </c>
      <c r="R49">
        <v>75</v>
      </c>
      <c r="S49" s="25">
        <v>5500000</v>
      </c>
      <c r="T49" s="25">
        <f>S49*R49</f>
        <v>412500000</v>
      </c>
    </row>
    <row r="50" spans="2:27" x14ac:dyDescent="0.25">
      <c r="B50" s="50"/>
      <c r="C50" s="51">
        <f t="shared" ref="C50:J50" si="13">SUM(C48:C49)</f>
        <v>57137</v>
      </c>
      <c r="D50" s="51">
        <f t="shared" si="13"/>
        <v>59993.85</v>
      </c>
      <c r="E50" s="51">
        <f t="shared" si="13"/>
        <v>62993.542499999996</v>
      </c>
      <c r="F50" s="51">
        <f>SUM(F48:F49)</f>
        <v>66143.219624999998</v>
      </c>
      <c r="G50" s="51">
        <f>SUM(G48:G49)</f>
        <v>69450.380606249993</v>
      </c>
      <c r="H50" s="51">
        <f>SUM(H48:H49)</f>
        <v>72922.899636562492</v>
      </c>
      <c r="I50" s="51">
        <f t="shared" si="13"/>
        <v>76569.044618390617</v>
      </c>
      <c r="J50" s="51">
        <f t="shared" si="13"/>
        <v>80397.496849310148</v>
      </c>
      <c r="K50" s="51">
        <f>SUM(K48:K49)</f>
        <v>84417.371691775654</v>
      </c>
      <c r="L50" s="51">
        <f>SUM(L48:L49)</f>
        <v>202912.24027636443</v>
      </c>
      <c r="P50" t="s">
        <v>189</v>
      </c>
      <c r="R50">
        <v>40</v>
      </c>
      <c r="S50" s="25">
        <v>5000000</v>
      </c>
      <c r="T50" s="25">
        <f>S50*R50</f>
        <v>200000000</v>
      </c>
    </row>
    <row r="51" spans="2:27" x14ac:dyDescent="0.25">
      <c r="B51" s="50"/>
      <c r="C51" s="1"/>
      <c r="D51" s="1"/>
      <c r="E51" s="1"/>
      <c r="F51" s="1"/>
      <c r="G51" s="1"/>
      <c r="H51" s="1"/>
      <c r="I51" s="1"/>
      <c r="J51" s="1"/>
      <c r="K51" s="1"/>
      <c r="L51" s="1"/>
      <c r="P51" t="s">
        <v>190</v>
      </c>
      <c r="R51">
        <v>35</v>
      </c>
      <c r="S51" s="25">
        <v>4500000</v>
      </c>
      <c r="T51" s="25">
        <f>S51*R51</f>
        <v>157500000</v>
      </c>
    </row>
    <row r="52" spans="2:27" x14ac:dyDescent="0.25">
      <c r="C52" s="22">
        <v>12</v>
      </c>
      <c r="D52" s="22">
        <f t="shared" ref="D52:L52" si="14">C52+1</f>
        <v>13</v>
      </c>
      <c r="E52" s="22">
        <f t="shared" si="14"/>
        <v>14</v>
      </c>
      <c r="F52" s="22">
        <f t="shared" si="14"/>
        <v>15</v>
      </c>
      <c r="G52" s="22">
        <f t="shared" si="14"/>
        <v>16</v>
      </c>
      <c r="H52" s="22">
        <f t="shared" si="14"/>
        <v>17</v>
      </c>
      <c r="I52" s="22">
        <f t="shared" si="14"/>
        <v>18</v>
      </c>
      <c r="J52" s="22">
        <f t="shared" si="14"/>
        <v>19</v>
      </c>
      <c r="K52" s="22">
        <f t="shared" si="14"/>
        <v>20</v>
      </c>
      <c r="L52" s="22">
        <f t="shared" si="14"/>
        <v>21</v>
      </c>
      <c r="R52">
        <f>SUM(R47:R51)</f>
        <v>185</v>
      </c>
      <c r="S52" s="25">
        <f>SUM(S47:S51)</f>
        <v>38000000</v>
      </c>
      <c r="T52" s="25">
        <f>SUM(T47:T51)</f>
        <v>1085000000</v>
      </c>
      <c r="U52" s="25">
        <f>T52*13</f>
        <v>14105000000</v>
      </c>
      <c r="V52" s="52">
        <v>14105</v>
      </c>
    </row>
    <row r="53" spans="2:27" x14ac:dyDescent="0.25">
      <c r="B53" s="50" t="s">
        <v>107</v>
      </c>
      <c r="C53" s="1">
        <f>(L48*5%)+L48</f>
        <v>93070.152290182654</v>
      </c>
      <c r="D53" s="1">
        <f>(C53*5%)+C53</f>
        <v>97723.659904691784</v>
      </c>
      <c r="E53" s="1">
        <f t="shared" ref="E53:L53" si="15">(D53*5%)+D53</f>
        <v>102609.84289992637</v>
      </c>
      <c r="F53" s="1">
        <f t="shared" si="15"/>
        <v>107740.33504492269</v>
      </c>
      <c r="G53" s="1">
        <f t="shared" si="15"/>
        <v>113127.35179716881</v>
      </c>
      <c r="H53" s="1">
        <f t="shared" si="15"/>
        <v>118783.71938702726</v>
      </c>
      <c r="I53" s="1">
        <f t="shared" si="15"/>
        <v>124722.90535637863</v>
      </c>
      <c r="J53" s="1">
        <f t="shared" si="15"/>
        <v>130959.05062419757</v>
      </c>
      <c r="K53" s="1">
        <f t="shared" si="15"/>
        <v>137507.00315540744</v>
      </c>
      <c r="L53" s="1">
        <f t="shared" si="15"/>
        <v>144382.35331317782</v>
      </c>
      <c r="U53" s="25">
        <f>U52/R52</f>
        <v>76243243.243243247</v>
      </c>
      <c r="V53" s="133">
        <f>V52/R52</f>
        <v>76.243243243243242</v>
      </c>
    </row>
    <row r="54" spans="2:27" x14ac:dyDescent="0.25">
      <c r="B54" s="50" t="s">
        <v>108</v>
      </c>
      <c r="C54" s="1"/>
      <c r="D54" s="1"/>
      <c r="E54" s="1"/>
      <c r="F54" s="1"/>
      <c r="H54" s="1"/>
      <c r="I54" s="1"/>
      <c r="L54" s="1">
        <f>D73</f>
        <v>114274</v>
      </c>
      <c r="U54" s="69"/>
    </row>
    <row r="55" spans="2:27" x14ac:dyDescent="0.25">
      <c r="B55" s="50"/>
      <c r="C55" s="51">
        <f t="shared" ref="C55:I55" si="16">SUM(C53:C54)</f>
        <v>93070.152290182654</v>
      </c>
      <c r="D55" s="51">
        <f>SUM(D53:D54)</f>
        <v>97723.659904691784</v>
      </c>
      <c r="E55" s="51">
        <f t="shared" si="16"/>
        <v>102609.84289992637</v>
      </c>
      <c r="F55" s="51">
        <f>SUM(F53:F54)</f>
        <v>107740.33504492269</v>
      </c>
      <c r="G55" s="51">
        <f t="shared" si="16"/>
        <v>113127.35179716881</v>
      </c>
      <c r="H55" s="51">
        <f t="shared" si="16"/>
        <v>118783.71938702726</v>
      </c>
      <c r="I55" s="51">
        <f t="shared" si="16"/>
        <v>124722.90535637863</v>
      </c>
      <c r="J55" s="51">
        <f>SUM(J53:J54)</f>
        <v>130959.05062419757</v>
      </c>
      <c r="K55" s="51">
        <f>SUM(K53:K54)</f>
        <v>137507.00315540744</v>
      </c>
      <c r="L55" s="51">
        <f>SUM(L53:L54)</f>
        <v>258656.35331317782</v>
      </c>
    </row>
    <row r="57" spans="2:27" x14ac:dyDescent="0.25">
      <c r="C57" s="22">
        <v>22</v>
      </c>
      <c r="D57" s="22">
        <f t="shared" ref="D57:L57" si="17">C57+1</f>
        <v>23</v>
      </c>
      <c r="E57" s="22">
        <f t="shared" si="17"/>
        <v>24</v>
      </c>
      <c r="F57" s="22">
        <f t="shared" si="17"/>
        <v>25</v>
      </c>
      <c r="G57" s="22">
        <f t="shared" si="17"/>
        <v>26</v>
      </c>
      <c r="H57" s="22">
        <f t="shared" si="17"/>
        <v>27</v>
      </c>
      <c r="I57" s="22">
        <f t="shared" si="17"/>
        <v>28</v>
      </c>
      <c r="J57" s="22">
        <f t="shared" si="17"/>
        <v>29</v>
      </c>
      <c r="K57" s="22">
        <f t="shared" si="17"/>
        <v>30</v>
      </c>
      <c r="L57" s="22">
        <f t="shared" si="17"/>
        <v>31</v>
      </c>
    </row>
    <row r="58" spans="2:27" x14ac:dyDescent="0.25">
      <c r="B58" s="50" t="s">
        <v>107</v>
      </c>
      <c r="C58" s="1">
        <f>(L53*5%)+L53</f>
        <v>151601.4709788367</v>
      </c>
      <c r="D58" s="1">
        <f>(C58*5%)+C58</f>
        <v>159181.54452777855</v>
      </c>
      <c r="E58" s="1">
        <f t="shared" ref="E58:L58" si="18">(D58*5%)+D58</f>
        <v>167140.62175416749</v>
      </c>
      <c r="F58" s="1">
        <f t="shared" si="18"/>
        <v>175497.65284187585</v>
      </c>
      <c r="G58" s="1">
        <f t="shared" si="18"/>
        <v>184272.53548396964</v>
      </c>
      <c r="H58" s="1">
        <f t="shared" si="18"/>
        <v>193486.16225816813</v>
      </c>
      <c r="I58" s="1">
        <f t="shared" si="18"/>
        <v>203160.47037107655</v>
      </c>
      <c r="J58" s="1">
        <f t="shared" si="18"/>
        <v>213318.49388963036</v>
      </c>
      <c r="K58" s="1">
        <f t="shared" si="18"/>
        <v>223984.41858411187</v>
      </c>
      <c r="L58" s="1">
        <f t="shared" si="18"/>
        <v>235183.63951331747</v>
      </c>
    </row>
    <row r="59" spans="2:27" x14ac:dyDescent="0.25">
      <c r="B59" s="50" t="s">
        <v>108</v>
      </c>
      <c r="C59" s="1"/>
      <c r="D59" s="1"/>
      <c r="E59" s="1"/>
      <c r="H59" s="1"/>
      <c r="I59" s="1"/>
      <c r="J59" s="1"/>
      <c r="K59" s="1"/>
      <c r="L59" s="1">
        <f>D73</f>
        <v>114274</v>
      </c>
    </row>
    <row r="60" spans="2:27" x14ac:dyDescent="0.25">
      <c r="C60" s="51">
        <f t="shared" ref="C60:K60" si="19">SUM(C58:C59)</f>
        <v>151601.4709788367</v>
      </c>
      <c r="D60" s="51">
        <f t="shared" si="19"/>
        <v>159181.54452777855</v>
      </c>
      <c r="E60" s="51">
        <f t="shared" si="19"/>
        <v>167140.62175416749</v>
      </c>
      <c r="F60" s="51">
        <f>SUM(F58:F59)</f>
        <v>175497.65284187585</v>
      </c>
      <c r="G60" s="51">
        <f t="shared" si="19"/>
        <v>184272.53548396964</v>
      </c>
      <c r="H60" s="51">
        <f t="shared" si="19"/>
        <v>193486.16225816813</v>
      </c>
      <c r="I60" s="51">
        <f t="shared" si="19"/>
        <v>203160.47037107655</v>
      </c>
      <c r="J60" s="51">
        <f t="shared" si="19"/>
        <v>213318.49388963036</v>
      </c>
      <c r="K60" s="51">
        <f t="shared" si="19"/>
        <v>223984.41858411187</v>
      </c>
      <c r="L60" s="51">
        <f>SUM(L58:L59)</f>
        <v>349457.6395133175</v>
      </c>
    </row>
    <row r="63" spans="2:27" x14ac:dyDescent="0.25">
      <c r="P63" s="260" t="s">
        <v>131</v>
      </c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</row>
    <row r="64" spans="2:27" ht="60" x14ac:dyDescent="0.25">
      <c r="P64" s="40" t="s">
        <v>35</v>
      </c>
      <c r="Q64" s="39" t="s">
        <v>77</v>
      </c>
      <c r="R64" s="39" t="s">
        <v>76</v>
      </c>
      <c r="S64" s="39" t="s">
        <v>78</v>
      </c>
      <c r="T64" s="39" t="s">
        <v>79</v>
      </c>
      <c r="U64" s="39" t="s">
        <v>80</v>
      </c>
      <c r="V64" s="39" t="s">
        <v>81</v>
      </c>
      <c r="W64" s="39" t="s">
        <v>82</v>
      </c>
      <c r="X64" s="39" t="s">
        <v>83</v>
      </c>
      <c r="Y64" s="39" t="s">
        <v>96</v>
      </c>
      <c r="Z64" s="43" t="s">
        <v>94</v>
      </c>
      <c r="AA64" s="43" t="s">
        <v>95</v>
      </c>
    </row>
    <row r="65" spans="2:27" x14ac:dyDescent="0.25">
      <c r="B65" t="s">
        <v>42</v>
      </c>
      <c r="C65" s="20">
        <v>905010664845</v>
      </c>
      <c r="D65" s="69">
        <f t="shared" ref="D65:D70" si="20">2.5%*C65</f>
        <v>22625266621.125</v>
      </c>
      <c r="P65" s="40">
        <v>1</v>
      </c>
      <c r="Q65" s="34" t="s">
        <v>84</v>
      </c>
      <c r="R65" s="34" t="s">
        <v>86</v>
      </c>
      <c r="S65" s="34" t="s">
        <v>89</v>
      </c>
      <c r="T65" s="34">
        <v>1565</v>
      </c>
      <c r="U65" s="34" t="s">
        <v>91</v>
      </c>
      <c r="V65" s="34">
        <v>2.0099999999999998</v>
      </c>
      <c r="W65" s="8">
        <f>T65*V65</f>
        <v>3145.6499999999996</v>
      </c>
      <c r="X65" s="34">
        <v>2.0099999999999998</v>
      </c>
      <c r="Y65" s="41">
        <f>T65*X65</f>
        <v>3145.6499999999996</v>
      </c>
      <c r="Z65" s="44" t="s">
        <v>93</v>
      </c>
      <c r="AA65" s="44" t="s">
        <v>93</v>
      </c>
    </row>
    <row r="66" spans="2:27" x14ac:dyDescent="0.25">
      <c r="B66" t="s">
        <v>43</v>
      </c>
      <c r="C66" s="20">
        <v>13938486350</v>
      </c>
      <c r="D66" s="69">
        <f t="shared" si="20"/>
        <v>348462158.75</v>
      </c>
      <c r="P66" s="261">
        <v>2</v>
      </c>
      <c r="Q66" s="261" t="s">
        <v>85</v>
      </c>
      <c r="R66" s="34" t="s">
        <v>87</v>
      </c>
      <c r="S66" s="34" t="s">
        <v>90</v>
      </c>
      <c r="T66" s="34">
        <v>5500</v>
      </c>
      <c r="U66" s="34" t="s">
        <v>92</v>
      </c>
      <c r="V66" s="34">
        <v>2.11</v>
      </c>
      <c r="W66" s="8">
        <f>T66/V66</f>
        <v>2606.6350710900474</v>
      </c>
      <c r="X66" s="34">
        <v>1.34</v>
      </c>
      <c r="Y66" s="41">
        <f>T66/X66</f>
        <v>4104.4776119402986</v>
      </c>
      <c r="Z66" s="41">
        <f>ABS($Y$65-Y66)</f>
        <v>958.82761194029899</v>
      </c>
      <c r="AA66" s="29">
        <f>Z66/Y66</f>
        <v>0.23360527272727283</v>
      </c>
    </row>
    <row r="67" spans="2:27" x14ac:dyDescent="0.25">
      <c r="B67" t="s">
        <v>44</v>
      </c>
      <c r="C67" s="20">
        <v>581196465850</v>
      </c>
      <c r="D67" s="69">
        <f t="shared" si="20"/>
        <v>14529911646.25</v>
      </c>
      <c r="P67" s="261"/>
      <c r="Q67" s="261"/>
      <c r="R67" s="34" t="s">
        <v>87</v>
      </c>
      <c r="S67" s="34" t="s">
        <v>89</v>
      </c>
      <c r="T67" s="34">
        <v>12100</v>
      </c>
      <c r="U67" s="34" t="s">
        <v>92</v>
      </c>
      <c r="V67" s="34">
        <v>2.27</v>
      </c>
      <c r="W67" s="8">
        <f>T67/V67</f>
        <v>5330.3964757709255</v>
      </c>
      <c r="X67" s="34">
        <v>1.44</v>
      </c>
      <c r="Y67" s="41">
        <f>T67/X67</f>
        <v>8402.7777777777774</v>
      </c>
      <c r="Z67" s="41">
        <f>ABS($Y$65-Y67)</f>
        <v>5257.1277777777777</v>
      </c>
      <c r="AA67" s="29">
        <f>Z67/Y67</f>
        <v>0.62564165289256202</v>
      </c>
    </row>
    <row r="68" spans="2:27" x14ac:dyDescent="0.25">
      <c r="B68" t="s">
        <v>45</v>
      </c>
      <c r="C68" s="20">
        <v>470060446846</v>
      </c>
      <c r="D68" s="69">
        <f t="shared" si="20"/>
        <v>11751511171.150002</v>
      </c>
      <c r="P68" s="261"/>
      <c r="Q68" s="261"/>
      <c r="R68" s="34" t="s">
        <v>88</v>
      </c>
      <c r="S68" s="34" t="s">
        <v>89</v>
      </c>
      <c r="T68" s="34">
        <v>12350</v>
      </c>
      <c r="U68" s="34" t="s">
        <v>92</v>
      </c>
      <c r="V68" s="34">
        <v>2.62</v>
      </c>
      <c r="W68" s="8">
        <f>T68/V68</f>
        <v>4713.740458015267</v>
      </c>
      <c r="X68" s="34">
        <v>1.67</v>
      </c>
      <c r="Y68" s="41">
        <f>T68/X68</f>
        <v>7395.2095808383237</v>
      </c>
      <c r="Z68" s="41">
        <f>ABS($Y$65-Y68)</f>
        <v>4249.5595808383241</v>
      </c>
      <c r="AA68" s="29">
        <f>Z68/Y68</f>
        <v>0.57463680161943331</v>
      </c>
    </row>
    <row r="69" spans="2:27" x14ac:dyDescent="0.25">
      <c r="B69" t="s">
        <v>46</v>
      </c>
      <c r="C69" s="20">
        <v>255255163800</v>
      </c>
      <c r="D69" s="69">
        <f t="shared" si="20"/>
        <v>6381379095</v>
      </c>
    </row>
    <row r="70" spans="2:27" x14ac:dyDescent="0.25">
      <c r="B70" t="s">
        <v>47</v>
      </c>
      <c r="C70" s="20">
        <v>60000000000</v>
      </c>
      <c r="D70" s="69">
        <f t="shared" si="20"/>
        <v>1500000000</v>
      </c>
      <c r="G70" s="69"/>
    </row>
    <row r="71" spans="2:27" x14ac:dyDescent="0.25">
      <c r="C71" s="25">
        <f>SUM(C65:C70)</f>
        <v>2285461227691</v>
      </c>
      <c r="D71" s="25">
        <f>SUM(D65:D70)</f>
        <v>57136530692.275002</v>
      </c>
    </row>
    <row r="72" spans="2:27" x14ac:dyDescent="0.25">
      <c r="C72" s="25">
        <f>C71*2.5%</f>
        <v>57136530692.275002</v>
      </c>
      <c r="D72" s="20">
        <v>57137</v>
      </c>
    </row>
    <row r="73" spans="2:27" x14ac:dyDescent="0.25">
      <c r="C73" s="25">
        <f>C71*5%</f>
        <v>114273061384.55</v>
      </c>
      <c r="D73" s="20">
        <v>114274</v>
      </c>
    </row>
    <row r="75" spans="2:27" x14ac:dyDescent="0.25">
      <c r="B75" t="s">
        <v>291</v>
      </c>
    </row>
    <row r="76" spans="2:27" x14ac:dyDescent="0.25">
      <c r="B76" s="20">
        <f>'biaya investasi'!E16</f>
        <v>3038695578007.7598</v>
      </c>
      <c r="C76" s="145">
        <f>C72/B76</f>
        <v>1.8802979510614569E-2</v>
      </c>
    </row>
    <row r="77" spans="2:27" x14ac:dyDescent="0.25">
      <c r="C77" s="67">
        <f>C73/B76</f>
        <v>3.7605959021229138E-2</v>
      </c>
    </row>
  </sheetData>
  <mergeCells count="5">
    <mergeCell ref="C45:L45"/>
    <mergeCell ref="P66:P68"/>
    <mergeCell ref="Q66:Q68"/>
    <mergeCell ref="P63:AA63"/>
    <mergeCell ref="P45:V4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XFD241"/>
  <sheetViews>
    <sheetView showGridLines="0" topLeftCell="A34" zoomScale="85" zoomScaleNormal="85" workbookViewId="0">
      <selection activeCell="G44" sqref="G44"/>
    </sheetView>
  </sheetViews>
  <sheetFormatPr defaultRowHeight="15" x14ac:dyDescent="0.25"/>
  <cols>
    <col min="3" max="3" width="15.85546875" customWidth="1"/>
    <col min="4" max="5" width="18" bestFit="1" customWidth="1"/>
    <col min="6" max="6" width="20.5703125" bestFit="1" customWidth="1"/>
    <col min="7" max="7" width="21.85546875" bestFit="1" customWidth="1"/>
    <col min="8" max="8" width="18" customWidth="1"/>
    <col min="9" max="9" width="14" bestFit="1" customWidth="1"/>
    <col min="10" max="10" width="13.42578125" bestFit="1" customWidth="1"/>
    <col min="11" max="11" width="14.140625" bestFit="1" customWidth="1"/>
    <col min="12" max="12" width="18" bestFit="1" customWidth="1"/>
    <col min="13" max="13" width="15.28515625" bestFit="1" customWidth="1"/>
    <col min="14" max="14" width="13.28515625" bestFit="1" customWidth="1"/>
    <col min="15" max="15" width="14.28515625" bestFit="1" customWidth="1"/>
    <col min="16" max="16" width="13.28515625" bestFit="1" customWidth="1"/>
    <col min="17" max="17" width="12.28515625" bestFit="1" customWidth="1"/>
    <col min="18" max="18" width="14.28515625" bestFit="1" customWidth="1"/>
    <col min="19" max="20" width="12.28515625" bestFit="1" customWidth="1"/>
    <col min="21" max="22" width="10.42578125" bestFit="1" customWidth="1"/>
    <col min="23" max="23" width="13.28515625" customWidth="1"/>
    <col min="24" max="24" width="13.28515625" bestFit="1" customWidth="1"/>
    <col min="32" max="33" width="10.5703125" bestFit="1" customWidth="1"/>
  </cols>
  <sheetData>
    <row r="5" spans="3:33 16384:16384" x14ac:dyDescent="0.25">
      <c r="C5" t="s">
        <v>183</v>
      </c>
      <c r="D5" s="22">
        <v>2</v>
      </c>
      <c r="E5" s="22">
        <f t="shared" ref="E5:L5" si="0">D5+1</f>
        <v>3</v>
      </c>
      <c r="F5" s="22">
        <f t="shared" si="0"/>
        <v>4</v>
      </c>
      <c r="G5" s="22">
        <f t="shared" si="0"/>
        <v>5</v>
      </c>
      <c r="H5" s="22">
        <f t="shared" si="0"/>
        <v>6</v>
      </c>
      <c r="I5" s="22">
        <f t="shared" si="0"/>
        <v>7</v>
      </c>
      <c r="J5" s="22">
        <f t="shared" si="0"/>
        <v>8</v>
      </c>
      <c r="K5" s="22">
        <f t="shared" si="0"/>
        <v>9</v>
      </c>
      <c r="L5" s="22">
        <f t="shared" si="0"/>
        <v>10</v>
      </c>
      <c r="M5" s="22">
        <v>12</v>
      </c>
      <c r="N5" s="22">
        <f>M5+1</f>
        <v>13</v>
      </c>
      <c r="O5" s="22">
        <f t="shared" ref="O5:W5" si="1">N5+1</f>
        <v>14</v>
      </c>
      <c r="P5" s="22">
        <f t="shared" si="1"/>
        <v>15</v>
      </c>
      <c r="Q5" s="22">
        <f t="shared" si="1"/>
        <v>16</v>
      </c>
      <c r="R5" s="22">
        <f t="shared" si="1"/>
        <v>17</v>
      </c>
      <c r="S5" s="22">
        <f t="shared" si="1"/>
        <v>18</v>
      </c>
      <c r="T5" s="22">
        <f t="shared" si="1"/>
        <v>19</v>
      </c>
      <c r="U5" s="22">
        <f t="shared" si="1"/>
        <v>20</v>
      </c>
      <c r="V5" s="22">
        <f t="shared" si="1"/>
        <v>21</v>
      </c>
      <c r="W5" s="22">
        <f t="shared" si="1"/>
        <v>22</v>
      </c>
      <c r="X5" s="22">
        <f>W5+1</f>
        <v>23</v>
      </c>
      <c r="Y5" s="22">
        <f t="shared" ref="Y5:AG5" si="2">X5+1</f>
        <v>24</v>
      </c>
      <c r="Z5" s="22">
        <f t="shared" si="2"/>
        <v>25</v>
      </c>
      <c r="AA5" s="22">
        <f t="shared" si="2"/>
        <v>26</v>
      </c>
      <c r="AB5" s="22">
        <f t="shared" si="2"/>
        <v>27</v>
      </c>
      <c r="AC5" s="22">
        <f t="shared" si="2"/>
        <v>28</v>
      </c>
      <c r="AD5" s="22">
        <f t="shared" si="2"/>
        <v>29</v>
      </c>
      <c r="AE5" s="22">
        <f t="shared" si="2"/>
        <v>30</v>
      </c>
      <c r="AF5" s="22">
        <f t="shared" si="2"/>
        <v>31</v>
      </c>
      <c r="AG5" s="22">
        <f t="shared" si="2"/>
        <v>32</v>
      </c>
    </row>
    <row r="6" spans="3:33 16384:16384" x14ac:dyDescent="0.25">
      <c r="C6" t="s">
        <v>40</v>
      </c>
      <c r="D6" s="10">
        <f>G45</f>
        <v>101290</v>
      </c>
      <c r="E6" s="25">
        <f>D6</f>
        <v>101290</v>
      </c>
      <c r="F6" s="10">
        <f>D6</f>
        <v>101290</v>
      </c>
      <c r="G6" s="10">
        <f t="shared" ref="G6:AG6" si="3">F6</f>
        <v>101290</v>
      </c>
      <c r="H6" s="10">
        <f t="shared" si="3"/>
        <v>101290</v>
      </c>
      <c r="I6" s="10">
        <f t="shared" si="3"/>
        <v>101290</v>
      </c>
      <c r="J6" s="10">
        <f t="shared" si="3"/>
        <v>101290</v>
      </c>
      <c r="K6" s="10">
        <f t="shared" si="3"/>
        <v>101290</v>
      </c>
      <c r="L6" s="10">
        <f t="shared" si="3"/>
        <v>101290</v>
      </c>
      <c r="M6" s="10">
        <f t="shared" si="3"/>
        <v>101290</v>
      </c>
      <c r="N6" s="10">
        <f t="shared" si="3"/>
        <v>101290</v>
      </c>
      <c r="O6" s="10">
        <f t="shared" si="3"/>
        <v>101290</v>
      </c>
      <c r="P6" s="10">
        <f t="shared" si="3"/>
        <v>101290</v>
      </c>
      <c r="Q6" s="10">
        <f t="shared" si="3"/>
        <v>101290</v>
      </c>
      <c r="R6" s="10">
        <f t="shared" si="3"/>
        <v>101290</v>
      </c>
      <c r="S6" s="10">
        <f t="shared" si="3"/>
        <v>101290</v>
      </c>
      <c r="T6" s="10">
        <f t="shared" si="3"/>
        <v>101290</v>
      </c>
      <c r="U6" s="10">
        <f t="shared" si="3"/>
        <v>101290</v>
      </c>
      <c r="V6" s="10">
        <f t="shared" si="3"/>
        <v>101290</v>
      </c>
      <c r="W6" s="10">
        <f t="shared" si="3"/>
        <v>101290</v>
      </c>
      <c r="X6" s="10">
        <f t="shared" si="3"/>
        <v>101290</v>
      </c>
      <c r="Y6" s="10">
        <f t="shared" si="3"/>
        <v>101290</v>
      </c>
      <c r="Z6" s="10">
        <f t="shared" si="3"/>
        <v>101290</v>
      </c>
      <c r="AA6" s="10">
        <f t="shared" si="3"/>
        <v>101290</v>
      </c>
      <c r="AB6" s="10">
        <f t="shared" si="3"/>
        <v>101290</v>
      </c>
      <c r="AC6" s="10">
        <f t="shared" si="3"/>
        <v>101290</v>
      </c>
      <c r="AD6" s="10">
        <f t="shared" si="3"/>
        <v>101290</v>
      </c>
      <c r="AE6" s="10">
        <f t="shared" si="3"/>
        <v>101290</v>
      </c>
      <c r="AF6" s="10">
        <f t="shared" si="3"/>
        <v>101290</v>
      </c>
      <c r="AG6" s="10">
        <f t="shared" si="3"/>
        <v>101290</v>
      </c>
      <c r="XFD6" s="10">
        <v>103558</v>
      </c>
    </row>
    <row r="7" spans="3:33 16384:16384" x14ac:dyDescent="0.25">
      <c r="C7" t="s">
        <v>55</v>
      </c>
      <c r="D7" s="119">
        <f>K48</f>
        <v>236721.3</v>
      </c>
      <c r="E7" s="119">
        <f>K49</f>
        <v>224516.13000000003</v>
      </c>
      <c r="F7" s="119">
        <f>K50</f>
        <v>210847.31</v>
      </c>
      <c r="G7" s="119">
        <f>K51</f>
        <v>195539.37000000002</v>
      </c>
      <c r="H7" s="119">
        <f>K52</f>
        <v>178395.75000000003</v>
      </c>
      <c r="I7" s="119">
        <f>K53</f>
        <v>159196.30000000002</v>
      </c>
      <c r="J7" s="119">
        <f>K54</f>
        <v>137694.47999999998</v>
      </c>
      <c r="K7" s="119">
        <f>K55</f>
        <v>113614.22</v>
      </c>
      <c r="L7" s="119">
        <f>K56</f>
        <v>86646.319999999992</v>
      </c>
      <c r="M7" s="119">
        <f>K57</f>
        <v>56444.45</v>
      </c>
      <c r="N7" s="119">
        <f>K58</f>
        <v>22620.880000000001</v>
      </c>
      <c r="O7" s="119">
        <f>K59</f>
        <v>225.86</v>
      </c>
      <c r="P7" s="6"/>
      <c r="Q7" s="6"/>
      <c r="R7" s="23"/>
      <c r="S7" s="6"/>
      <c r="T7" s="6"/>
      <c r="U7" s="6"/>
      <c r="V7" s="6"/>
      <c r="W7" s="6"/>
      <c r="X7" s="10"/>
      <c r="Y7" s="6"/>
      <c r="Z7" s="6"/>
      <c r="AA7" s="6"/>
      <c r="AB7" s="6"/>
      <c r="AC7" s="6"/>
      <c r="AD7" s="6"/>
      <c r="AE7" s="6"/>
      <c r="AF7" s="6"/>
      <c r="AG7" s="6"/>
    </row>
    <row r="8" spans="3:33 16384:16384" x14ac:dyDescent="0.25">
      <c r="C8" t="s">
        <v>38</v>
      </c>
      <c r="D8" s="10">
        <f>$E$64</f>
        <v>8508</v>
      </c>
      <c r="E8" s="10">
        <f>$E$64</f>
        <v>8508</v>
      </c>
      <c r="F8" s="10">
        <f>$E$64</f>
        <v>8508</v>
      </c>
      <c r="G8" s="10">
        <f t="shared" ref="G8:AG8" si="4">$E$64</f>
        <v>8508</v>
      </c>
      <c r="H8" s="10">
        <f t="shared" si="4"/>
        <v>8508</v>
      </c>
      <c r="I8" s="10">
        <f t="shared" si="4"/>
        <v>8508</v>
      </c>
      <c r="J8" s="10">
        <f t="shared" si="4"/>
        <v>8508</v>
      </c>
      <c r="K8" s="10">
        <f t="shared" si="4"/>
        <v>8508</v>
      </c>
      <c r="L8" s="10">
        <f t="shared" si="4"/>
        <v>8508</v>
      </c>
      <c r="M8" s="10">
        <f t="shared" si="4"/>
        <v>8508</v>
      </c>
      <c r="N8" s="10">
        <f t="shared" si="4"/>
        <v>8508</v>
      </c>
      <c r="O8" s="10">
        <f t="shared" si="4"/>
        <v>8508</v>
      </c>
      <c r="P8" s="10">
        <f t="shared" si="4"/>
        <v>8508</v>
      </c>
      <c r="Q8" s="10">
        <f t="shared" si="4"/>
        <v>8508</v>
      </c>
      <c r="R8" s="10">
        <f t="shared" si="4"/>
        <v>8508</v>
      </c>
      <c r="S8" s="10">
        <f t="shared" si="4"/>
        <v>8508</v>
      </c>
      <c r="T8" s="10">
        <f t="shared" si="4"/>
        <v>8508</v>
      </c>
      <c r="U8" s="10">
        <f t="shared" si="4"/>
        <v>8508</v>
      </c>
      <c r="V8" s="10">
        <f t="shared" si="4"/>
        <v>8508</v>
      </c>
      <c r="W8" s="10">
        <f t="shared" si="4"/>
        <v>8508</v>
      </c>
      <c r="X8" s="10">
        <f t="shared" si="4"/>
        <v>8508</v>
      </c>
      <c r="Y8" s="10">
        <f t="shared" si="4"/>
        <v>8508</v>
      </c>
      <c r="Z8" s="10">
        <f t="shared" si="4"/>
        <v>8508</v>
      </c>
      <c r="AA8" s="10">
        <f t="shared" si="4"/>
        <v>8508</v>
      </c>
      <c r="AB8" s="10">
        <f t="shared" si="4"/>
        <v>8508</v>
      </c>
      <c r="AC8" s="10">
        <f t="shared" si="4"/>
        <v>8508</v>
      </c>
      <c r="AD8" s="10">
        <f t="shared" si="4"/>
        <v>8508</v>
      </c>
      <c r="AE8" s="10">
        <f t="shared" si="4"/>
        <v>8508</v>
      </c>
      <c r="AF8" s="10">
        <f t="shared" si="4"/>
        <v>8508</v>
      </c>
      <c r="AG8" s="10">
        <f t="shared" si="4"/>
        <v>8508</v>
      </c>
    </row>
    <row r="9" spans="3:33 16384:16384" x14ac:dyDescent="0.25">
      <c r="D9" s="25">
        <f>SUM(D6:D8)</f>
        <v>346519.3</v>
      </c>
      <c r="E9" s="25">
        <f t="shared" ref="E9:M9" si="5">SUM(E6:E8)</f>
        <v>334314.13</v>
      </c>
      <c r="F9" s="25">
        <f t="shared" si="5"/>
        <v>320645.31</v>
      </c>
      <c r="G9" s="25">
        <f t="shared" si="5"/>
        <v>305337.37</v>
      </c>
      <c r="H9" s="25">
        <f t="shared" si="5"/>
        <v>288193.75</v>
      </c>
      <c r="I9" s="25">
        <f t="shared" si="5"/>
        <v>268994.30000000005</v>
      </c>
      <c r="J9" s="25">
        <f t="shared" si="5"/>
        <v>247492.47999999998</v>
      </c>
      <c r="K9" s="25">
        <f t="shared" si="5"/>
        <v>223412.22</v>
      </c>
      <c r="L9" s="25">
        <f t="shared" si="5"/>
        <v>196444.32</v>
      </c>
      <c r="M9" s="25">
        <f t="shared" si="5"/>
        <v>166242.45000000001</v>
      </c>
      <c r="N9" s="25">
        <f>SUM(N6:N8)</f>
        <v>132418.88</v>
      </c>
      <c r="O9" s="25">
        <f t="shared" ref="O9:W9" si="6">SUM(O6:O8)</f>
        <v>110023.86</v>
      </c>
      <c r="P9" s="25">
        <f t="shared" si="6"/>
        <v>109798</v>
      </c>
      <c r="Q9" s="25">
        <f t="shared" si="6"/>
        <v>109798</v>
      </c>
      <c r="R9" s="25">
        <f t="shared" si="6"/>
        <v>109798</v>
      </c>
      <c r="S9" s="25">
        <f t="shared" si="6"/>
        <v>109798</v>
      </c>
      <c r="T9" s="25">
        <f t="shared" si="6"/>
        <v>109798</v>
      </c>
      <c r="U9" s="25">
        <f t="shared" si="6"/>
        <v>109798</v>
      </c>
      <c r="V9" s="25">
        <f t="shared" si="6"/>
        <v>109798</v>
      </c>
      <c r="W9" s="25">
        <f t="shared" si="6"/>
        <v>109798</v>
      </c>
      <c r="X9" s="25">
        <f>SUM(X6:X8)</f>
        <v>109798</v>
      </c>
      <c r="Y9" s="25">
        <f t="shared" ref="Y9:AG9" si="7">SUM(Y6:Y8)</f>
        <v>109798</v>
      </c>
      <c r="Z9" s="25">
        <f t="shared" si="7"/>
        <v>109798</v>
      </c>
      <c r="AA9" s="25">
        <f t="shared" si="7"/>
        <v>109798</v>
      </c>
      <c r="AB9" s="25">
        <f t="shared" si="7"/>
        <v>109798</v>
      </c>
      <c r="AC9" s="25">
        <f t="shared" si="7"/>
        <v>109798</v>
      </c>
      <c r="AD9" s="25">
        <f t="shared" si="7"/>
        <v>109798</v>
      </c>
      <c r="AE9" s="25">
        <f t="shared" si="7"/>
        <v>109798</v>
      </c>
      <c r="AF9" s="25">
        <f t="shared" si="7"/>
        <v>109798</v>
      </c>
      <c r="AG9" s="25">
        <f t="shared" si="7"/>
        <v>109798</v>
      </c>
    </row>
    <row r="11" spans="3:33 16384:16384" x14ac:dyDescent="0.25">
      <c r="G11" s="42"/>
    </row>
    <row r="12" spans="3:33 16384:16384" x14ac:dyDescent="0.25">
      <c r="C12" t="s">
        <v>40</v>
      </c>
      <c r="XFD12" t="s">
        <v>56</v>
      </c>
    </row>
    <row r="13" spans="3:33 16384:16384" x14ac:dyDescent="0.25">
      <c r="C13" t="s">
        <v>55</v>
      </c>
    </row>
    <row r="14" spans="3:33 16384:16384" x14ac:dyDescent="0.25">
      <c r="C14" t="s">
        <v>38</v>
      </c>
      <c r="XFD14" s="6">
        <v>10342</v>
      </c>
    </row>
    <row r="15" spans="3:33 16384:16384" x14ac:dyDescent="0.25">
      <c r="L15" s="25"/>
      <c r="O15" s="25"/>
    </row>
    <row r="18" spans="3:3" x14ac:dyDescent="0.25">
      <c r="C18" t="s">
        <v>40</v>
      </c>
    </row>
    <row r="19" spans="3:3" x14ac:dyDescent="0.25">
      <c r="C19" t="s">
        <v>55</v>
      </c>
    </row>
    <row r="20" spans="3:3" x14ac:dyDescent="0.25">
      <c r="C20" t="s">
        <v>38</v>
      </c>
    </row>
    <row r="35" spans="3:20" x14ac:dyDescent="0.25">
      <c r="H35" t="s">
        <v>98</v>
      </c>
      <c r="K35">
        <v>30</v>
      </c>
    </row>
    <row r="36" spans="3:20" x14ac:dyDescent="0.25">
      <c r="H36" t="s">
        <v>97</v>
      </c>
      <c r="K36" s="21">
        <v>0.05</v>
      </c>
    </row>
    <row r="37" spans="3:20" x14ac:dyDescent="0.25">
      <c r="H37" t="s">
        <v>99</v>
      </c>
      <c r="K37">
        <v>12</v>
      </c>
    </row>
    <row r="38" spans="3:20" x14ac:dyDescent="0.25">
      <c r="H38" t="s">
        <v>39</v>
      </c>
      <c r="K38" s="114">
        <v>0.105</v>
      </c>
      <c r="L38" s="112">
        <f>10.5/100</f>
        <v>0.105</v>
      </c>
    </row>
    <row r="39" spans="3:20" x14ac:dyDescent="0.25">
      <c r="H39" t="s">
        <v>245</v>
      </c>
      <c r="K39" s="67">
        <v>1.1499999999999999</v>
      </c>
    </row>
    <row r="41" spans="3:20" x14ac:dyDescent="0.25">
      <c r="C41" s="260" t="s">
        <v>232</v>
      </c>
      <c r="D41" s="260"/>
      <c r="E41" s="260"/>
      <c r="G41" s="109" t="s">
        <v>233</v>
      </c>
      <c r="K41" s="109" t="s">
        <v>234</v>
      </c>
      <c r="O41" s="20"/>
      <c r="P41" s="115"/>
    </row>
    <row r="42" spans="3:20" x14ac:dyDescent="0.25">
      <c r="K42" t="s">
        <v>235</v>
      </c>
      <c r="O42" s="113"/>
      <c r="P42" s="69"/>
    </row>
    <row r="43" spans="3:20" x14ac:dyDescent="0.25">
      <c r="C43" t="s">
        <v>42</v>
      </c>
      <c r="D43" s="20">
        <f>905010664845-36170163203</f>
        <v>868840501642</v>
      </c>
      <c r="E43" s="69">
        <f>0.5%*D43</f>
        <v>4344202508.21</v>
      </c>
      <c r="G43" t="s">
        <v>250</v>
      </c>
      <c r="J43">
        <v>24000</v>
      </c>
      <c r="K43" s="20">
        <f>'biaya investasi'!K17</f>
        <v>2127086</v>
      </c>
      <c r="L43" s="69">
        <f>K43*K44</f>
        <v>7049079.1239159536</v>
      </c>
      <c r="M43" s="69">
        <f>L43/12</f>
        <v>587423.2603263295</v>
      </c>
      <c r="N43" t="s">
        <v>236</v>
      </c>
      <c r="O43" s="25">
        <f>P43/Q43</f>
        <v>319864.27036527119</v>
      </c>
      <c r="P43" s="52">
        <f>K43*K38</f>
        <v>223344.03</v>
      </c>
      <c r="Q43" s="52">
        <f>1-(1+K38)^-12</f>
        <v>0.69824625846753918</v>
      </c>
    </row>
    <row r="44" spans="3:20" x14ac:dyDescent="0.25">
      <c r="C44" t="s">
        <v>43</v>
      </c>
      <c r="D44" s="20">
        <v>13938486350</v>
      </c>
      <c r="E44" s="69">
        <v>0</v>
      </c>
      <c r="G44" s="20">
        <f>'biaya investasi'!E16/30</f>
        <v>101289852600.25865</v>
      </c>
      <c r="K44" s="113">
        <f>(1+K38)^12</f>
        <v>3.3139605657298077</v>
      </c>
      <c r="L44" s="69">
        <f>L43-K43</f>
        <v>4921993.1239159536</v>
      </c>
      <c r="M44" s="69"/>
    </row>
    <row r="45" spans="3:20" x14ac:dyDescent="0.25">
      <c r="C45" t="s">
        <v>44</v>
      </c>
      <c r="D45" s="20">
        <v>418927183500</v>
      </c>
      <c r="E45" s="69">
        <f>0.5%*D45</f>
        <v>2094635917.5</v>
      </c>
      <c r="G45" s="20">
        <v>101290</v>
      </c>
      <c r="I45" t="s">
        <v>240</v>
      </c>
      <c r="J45" t="s">
        <v>241</v>
      </c>
      <c r="K45" t="s">
        <v>242</v>
      </c>
      <c r="L45" t="s">
        <v>243</v>
      </c>
      <c r="M45" t="s">
        <v>244</v>
      </c>
      <c r="Q45" s="69"/>
      <c r="R45" s="69"/>
      <c r="S45" s="69"/>
      <c r="T45" s="69"/>
    </row>
    <row r="46" spans="3:20" x14ac:dyDescent="0.25">
      <c r="C46" t="s">
        <v>45</v>
      </c>
      <c r="D46" s="20">
        <v>470060446846</v>
      </c>
      <c r="E46" s="69">
        <v>0</v>
      </c>
      <c r="I46" t="s">
        <v>238</v>
      </c>
      <c r="J46" s="60" t="s">
        <v>239</v>
      </c>
      <c r="K46" s="69" t="s">
        <v>39</v>
      </c>
      <c r="L46" s="69" t="s">
        <v>237</v>
      </c>
      <c r="M46" t="s">
        <v>252</v>
      </c>
      <c r="N46" s="110"/>
      <c r="O46" s="111"/>
      <c r="P46" s="20"/>
      <c r="R46" s="69"/>
      <c r="S46" s="69"/>
      <c r="T46" s="69"/>
    </row>
    <row r="47" spans="3:20" x14ac:dyDescent="0.25">
      <c r="C47" t="s">
        <v>46</v>
      </c>
      <c r="D47" s="20">
        <v>255255163800</v>
      </c>
      <c r="E47" s="69">
        <f>0.5%*D47</f>
        <v>1276275819</v>
      </c>
      <c r="H47">
        <v>0</v>
      </c>
      <c r="I47" s="25">
        <f>K43</f>
        <v>2127086</v>
      </c>
      <c r="N47" s="110"/>
      <c r="O47" s="111"/>
      <c r="P47" s="20"/>
      <c r="R47" s="69"/>
      <c r="S47" s="69"/>
      <c r="T47" s="69"/>
    </row>
    <row r="48" spans="3:20" x14ac:dyDescent="0.25">
      <c r="C48" t="s">
        <v>47</v>
      </c>
      <c r="D48" s="20">
        <v>60000000000</v>
      </c>
      <c r="E48" s="69">
        <f>0.5%*D48</f>
        <v>300000000</v>
      </c>
      <c r="H48">
        <v>1</v>
      </c>
      <c r="I48" s="25">
        <f>I47-J48</f>
        <v>2051344.82</v>
      </c>
      <c r="J48" s="25">
        <f>L48-K48</f>
        <v>75741.179999999993</v>
      </c>
      <c r="K48" s="25">
        <f t="shared" ref="K48:K59" si="8">E97</f>
        <v>236721.3</v>
      </c>
      <c r="L48" s="25">
        <f>26038.54*12</f>
        <v>312462.48</v>
      </c>
      <c r="M48" s="31">
        <f>K48/I48</f>
        <v>0.11539810259691005</v>
      </c>
      <c r="N48" s="42">
        <f>K48/L48</f>
        <v>0.75759912038078936</v>
      </c>
      <c r="O48" s="148">
        <f>L48/K43</f>
        <v>0.14689696608411695</v>
      </c>
      <c r="P48" s="20"/>
    </row>
    <row r="49" spans="3:22" x14ac:dyDescent="0.25">
      <c r="D49" s="25">
        <f>SUM(D43:D48)</f>
        <v>2087021782138</v>
      </c>
      <c r="E49" s="25">
        <f>SUM(E43:E48)</f>
        <v>8015114244.71</v>
      </c>
      <c r="H49">
        <f>1+H48</f>
        <v>2</v>
      </c>
      <c r="I49" s="25">
        <f t="shared" ref="I49:I59" si="9">I48-J49</f>
        <v>1963398.4700000002</v>
      </c>
      <c r="J49" s="25">
        <f t="shared" ref="J49:J59" si="10">L49-K49</f>
        <v>87946.349999999948</v>
      </c>
      <c r="K49" s="25">
        <f t="shared" si="8"/>
        <v>224516.13000000003</v>
      </c>
      <c r="L49" s="25">
        <f t="shared" ref="L49:L59" si="11">26038.54*12</f>
        <v>312462.48</v>
      </c>
      <c r="M49" s="31">
        <f t="shared" ref="M49:M58" si="12">K49/I49</f>
        <v>0.11435077159859455</v>
      </c>
      <c r="N49" s="42">
        <f t="shared" ref="N49:N58" si="13">K49/L49</f>
        <v>0.71853788653280881</v>
      </c>
      <c r="O49" s="145">
        <f>(K49-K48)/K49</f>
        <v>-5.4362107524301047E-2</v>
      </c>
      <c r="P49" s="20"/>
    </row>
    <row r="50" spans="3:22" x14ac:dyDescent="0.25">
      <c r="D50" s="25"/>
      <c r="E50">
        <v>8015</v>
      </c>
      <c r="G50" s="69"/>
      <c r="H50">
        <f t="shared" ref="H50:H59" si="14">1+H49</f>
        <v>3</v>
      </c>
      <c r="I50" s="25">
        <f t="shared" si="9"/>
        <v>1861783.3000000003</v>
      </c>
      <c r="J50" s="25">
        <f t="shared" si="10"/>
        <v>101615.16999999998</v>
      </c>
      <c r="K50" s="25">
        <f t="shared" si="8"/>
        <v>210847.31</v>
      </c>
      <c r="L50" s="25">
        <f t="shared" si="11"/>
        <v>312462.48</v>
      </c>
      <c r="M50" s="31">
        <f t="shared" si="12"/>
        <v>0.11325018867663061</v>
      </c>
      <c r="N50" s="42">
        <f t="shared" si="13"/>
        <v>0.67479241027594739</v>
      </c>
      <c r="O50" s="145">
        <f t="shared" ref="O50:O59" si="15">(K50-K49)/K50</f>
        <v>-6.4828050213208963E-2</v>
      </c>
      <c r="P50" s="20"/>
      <c r="R50" s="52"/>
    </row>
    <row r="51" spans="3:22" x14ac:dyDescent="0.25">
      <c r="C51" s="53" t="s">
        <v>199</v>
      </c>
      <c r="D51" s="20">
        <v>486384808597</v>
      </c>
      <c r="E51" s="20">
        <f>0.05%*D51</f>
        <v>243192404.2985</v>
      </c>
      <c r="H51">
        <f t="shared" si="14"/>
        <v>4</v>
      </c>
      <c r="I51" s="25">
        <f t="shared" si="9"/>
        <v>1744860.1900000004</v>
      </c>
      <c r="J51" s="25">
        <f t="shared" si="10"/>
        <v>116923.10999999996</v>
      </c>
      <c r="K51" s="25">
        <f t="shared" si="8"/>
        <v>195539.37000000002</v>
      </c>
      <c r="L51" s="25">
        <f t="shared" si="11"/>
        <v>312462.48</v>
      </c>
      <c r="M51" s="31">
        <f t="shared" si="12"/>
        <v>0.11206592431912839</v>
      </c>
      <c r="N51" s="42">
        <f t="shared" si="13"/>
        <v>0.62580112018569412</v>
      </c>
      <c r="O51" s="145">
        <f t="shared" si="15"/>
        <v>-7.8285718113953073E-2</v>
      </c>
      <c r="P51" s="20"/>
      <c r="Q51" s="69"/>
      <c r="R51" s="69"/>
      <c r="S51" s="69"/>
      <c r="T51" s="69"/>
    </row>
    <row r="52" spans="3:22" x14ac:dyDescent="0.25">
      <c r="C52" s="53" t="s">
        <v>200</v>
      </c>
      <c r="D52" s="20">
        <v>326351498794</v>
      </c>
      <c r="E52" s="20">
        <f>0.08%*D52</f>
        <v>261081199.0352</v>
      </c>
      <c r="H52">
        <f t="shared" si="14"/>
        <v>5</v>
      </c>
      <c r="I52" s="25">
        <f t="shared" si="9"/>
        <v>1610793.4600000004</v>
      </c>
      <c r="J52" s="25">
        <f t="shared" si="10"/>
        <v>134066.72999999995</v>
      </c>
      <c r="K52" s="25">
        <f t="shared" si="8"/>
        <v>178395.75000000003</v>
      </c>
      <c r="L52" s="25">
        <f t="shared" si="11"/>
        <v>312462.48</v>
      </c>
      <c r="M52" s="31">
        <f t="shared" si="12"/>
        <v>0.11075023237305669</v>
      </c>
      <c r="N52" s="42">
        <f t="shared" si="13"/>
        <v>0.57093494873368489</v>
      </c>
      <c r="O52" s="145">
        <f t="shared" si="15"/>
        <v>-9.6098814013226175E-2</v>
      </c>
      <c r="P52" s="20"/>
      <c r="Q52" s="69"/>
      <c r="R52" s="69"/>
      <c r="S52" s="69"/>
      <c r="T52" s="69"/>
    </row>
    <row r="53" spans="3:22" x14ac:dyDescent="0.25">
      <c r="C53" s="53" t="s">
        <v>201</v>
      </c>
      <c r="D53" s="20">
        <v>23354983001</v>
      </c>
      <c r="E53" s="20">
        <f>0.5%*D53</f>
        <v>116774915.005</v>
      </c>
      <c r="H53">
        <f t="shared" si="14"/>
        <v>6</v>
      </c>
      <c r="I53" s="25">
        <f t="shared" si="9"/>
        <v>1457527.2800000005</v>
      </c>
      <c r="J53" s="25">
        <f t="shared" si="10"/>
        <v>153266.17999999996</v>
      </c>
      <c r="K53" s="25">
        <f t="shared" si="8"/>
        <v>159196.30000000002</v>
      </c>
      <c r="L53" s="25">
        <f t="shared" si="11"/>
        <v>312462.48</v>
      </c>
      <c r="M53" s="31">
        <f t="shared" si="12"/>
        <v>0.10922354743164736</v>
      </c>
      <c r="N53" s="42">
        <f t="shared" si="13"/>
        <v>0.50948933132707652</v>
      </c>
      <c r="O53" s="145">
        <f t="shared" si="15"/>
        <v>-0.12060236324587952</v>
      </c>
      <c r="P53" s="20"/>
      <c r="Q53" s="69"/>
      <c r="R53" s="69"/>
      <c r="S53" s="69"/>
      <c r="T53" s="69"/>
    </row>
    <row r="54" spans="3:22" x14ac:dyDescent="0.25">
      <c r="C54" s="53" t="s">
        <v>204</v>
      </c>
      <c r="D54" s="20">
        <v>32749211250</v>
      </c>
      <c r="E54" s="20">
        <f>0.5%*D54</f>
        <v>163746056.25</v>
      </c>
      <c r="H54">
        <f t="shared" si="14"/>
        <v>7</v>
      </c>
      <c r="I54" s="25">
        <f t="shared" si="9"/>
        <v>1282759.2800000005</v>
      </c>
      <c r="J54" s="25">
        <f t="shared" si="10"/>
        <v>174768</v>
      </c>
      <c r="K54" s="25">
        <f t="shared" si="8"/>
        <v>137694.47999999998</v>
      </c>
      <c r="L54" s="25">
        <f t="shared" si="11"/>
        <v>312462.48</v>
      </c>
      <c r="M54" s="31">
        <f t="shared" si="12"/>
        <v>0.1073424157960486</v>
      </c>
      <c r="N54" s="42">
        <f t="shared" si="13"/>
        <v>0.44067524523264356</v>
      </c>
      <c r="O54" s="145">
        <f t="shared" si="15"/>
        <v>-0.15615600567284935</v>
      </c>
      <c r="P54" s="20"/>
      <c r="R54" s="69"/>
      <c r="V54" s="69"/>
    </row>
    <row r="55" spans="3:22" x14ac:dyDescent="0.25">
      <c r="C55" s="26" t="s">
        <v>44</v>
      </c>
      <c r="E55" s="20">
        <f>0.05%*D55</f>
        <v>0</v>
      </c>
      <c r="H55">
        <f t="shared" si="14"/>
        <v>8</v>
      </c>
      <c r="I55" s="25">
        <f t="shared" si="9"/>
        <v>1083911.0200000005</v>
      </c>
      <c r="J55" s="25">
        <f t="shared" si="10"/>
        <v>198848.25999999998</v>
      </c>
      <c r="K55" s="25">
        <f t="shared" si="8"/>
        <v>113614.22</v>
      </c>
      <c r="L55" s="25">
        <f t="shared" si="11"/>
        <v>312462.48</v>
      </c>
      <c r="M55" s="31">
        <f t="shared" si="12"/>
        <v>0.10481877008686558</v>
      </c>
      <c r="N55" s="42">
        <f t="shared" si="13"/>
        <v>0.36360916037023072</v>
      </c>
      <c r="O55" s="145">
        <f t="shared" si="15"/>
        <v>-0.21194758895497395</v>
      </c>
      <c r="P55" s="20"/>
      <c r="Q55" s="69"/>
      <c r="R55" s="69"/>
      <c r="S55" s="69"/>
      <c r="T55" s="69"/>
      <c r="V55" s="69"/>
    </row>
    <row r="56" spans="3:22" x14ac:dyDescent="0.25">
      <c r="C56" s="53" t="s">
        <v>216</v>
      </c>
      <c r="D56" s="20">
        <v>418927183500</v>
      </c>
      <c r="E56" s="20">
        <f>0.5%*D56</f>
        <v>2094635917.5</v>
      </c>
      <c r="H56">
        <f t="shared" si="14"/>
        <v>9</v>
      </c>
      <c r="I56" s="25">
        <f t="shared" si="9"/>
        <v>858094.86000000057</v>
      </c>
      <c r="J56" s="25">
        <f t="shared" si="10"/>
        <v>225816.15999999997</v>
      </c>
      <c r="K56" s="25">
        <f t="shared" si="8"/>
        <v>86646.319999999992</v>
      </c>
      <c r="L56" s="25">
        <f t="shared" si="11"/>
        <v>312462.48</v>
      </c>
      <c r="M56" s="31">
        <f t="shared" si="12"/>
        <v>0.10097522318220148</v>
      </c>
      <c r="N56" s="42">
        <f t="shared" si="13"/>
        <v>0.27730151792944868</v>
      </c>
      <c r="O56" s="145">
        <f t="shared" si="15"/>
        <v>-0.31124114676768744</v>
      </c>
      <c r="P56" s="20"/>
    </row>
    <row r="57" spans="3:22" x14ac:dyDescent="0.25">
      <c r="C57" s="26" t="s">
        <v>46</v>
      </c>
      <c r="E57" s="20">
        <f>0.05%*D57</f>
        <v>0</v>
      </c>
      <c r="H57">
        <f t="shared" si="14"/>
        <v>10</v>
      </c>
      <c r="I57" s="25">
        <f t="shared" si="9"/>
        <v>602076.83000000054</v>
      </c>
      <c r="J57" s="25">
        <f t="shared" si="10"/>
        <v>256018.02999999997</v>
      </c>
      <c r="K57" s="25">
        <f t="shared" si="8"/>
        <v>56444.45</v>
      </c>
      <c r="L57" s="25">
        <f t="shared" si="11"/>
        <v>312462.48</v>
      </c>
      <c r="M57" s="31">
        <f t="shared" si="12"/>
        <v>9.3749580099270632E-2</v>
      </c>
      <c r="N57" s="42">
        <f t="shared" si="13"/>
        <v>0.18064392883267136</v>
      </c>
      <c r="O57" s="145">
        <f t="shared" si="15"/>
        <v>-0.53507244733538895</v>
      </c>
      <c r="P57" s="20"/>
    </row>
    <row r="58" spans="3:22" x14ac:dyDescent="0.25">
      <c r="C58" s="53" t="s">
        <v>228</v>
      </c>
      <c r="D58" s="20">
        <v>255255163800</v>
      </c>
      <c r="E58" s="20">
        <f>1.5%*D58</f>
        <v>3828827457</v>
      </c>
      <c r="H58">
        <f t="shared" si="14"/>
        <v>11</v>
      </c>
      <c r="I58" s="25">
        <f t="shared" si="9"/>
        <v>312235.23000000056</v>
      </c>
      <c r="J58" s="25">
        <f t="shared" si="10"/>
        <v>289841.59999999998</v>
      </c>
      <c r="K58" s="25">
        <f t="shared" si="8"/>
        <v>22620.880000000001</v>
      </c>
      <c r="L58" s="25">
        <f t="shared" si="11"/>
        <v>312462.48</v>
      </c>
      <c r="M58" s="31">
        <f t="shared" si="12"/>
        <v>7.244819875066616E-2</v>
      </c>
      <c r="N58" s="42">
        <f t="shared" si="13"/>
        <v>7.2395508094283842E-2</v>
      </c>
      <c r="O58" s="145">
        <f t="shared" si="15"/>
        <v>-1.4952367016667782</v>
      </c>
    </row>
    <row r="59" spans="3:22" x14ac:dyDescent="0.25">
      <c r="C59" s="26" t="s">
        <v>47</v>
      </c>
      <c r="E59" s="20">
        <f>0.05%*D59</f>
        <v>0</v>
      </c>
      <c r="H59">
        <f t="shared" si="14"/>
        <v>12</v>
      </c>
      <c r="I59" s="25">
        <f t="shared" si="9"/>
        <v>-1.3899999994318932</v>
      </c>
      <c r="J59" s="25">
        <f t="shared" si="10"/>
        <v>312236.62</v>
      </c>
      <c r="K59" s="25">
        <f t="shared" si="8"/>
        <v>225.86</v>
      </c>
      <c r="L59" s="25">
        <f t="shared" si="11"/>
        <v>312462.48</v>
      </c>
      <c r="N59" s="118"/>
      <c r="O59" s="145">
        <f t="shared" si="15"/>
        <v>-99.154431948994954</v>
      </c>
    </row>
    <row r="60" spans="3:22" x14ac:dyDescent="0.25">
      <c r="C60" s="53" t="s">
        <v>229</v>
      </c>
      <c r="D60" s="20">
        <v>25000000000</v>
      </c>
      <c r="E60" s="20">
        <f>3%*D60</f>
        <v>750000000</v>
      </c>
      <c r="J60" s="25">
        <f>SUM(J48:J59)</f>
        <v>2127087.39</v>
      </c>
      <c r="K60" s="69">
        <f>SUM(K48:K59)</f>
        <v>1622462.3699999999</v>
      </c>
      <c r="L60" s="25">
        <f>SUM(L48:L59)</f>
        <v>3749549.76</v>
      </c>
      <c r="M60" s="42">
        <f>SUM(M48:M58)</f>
        <v>1.1543729549110202</v>
      </c>
    </row>
    <row r="61" spans="3:22" x14ac:dyDescent="0.25">
      <c r="C61" s="53" t="s">
        <v>230</v>
      </c>
      <c r="D61" s="20">
        <v>35000000000</v>
      </c>
      <c r="E61" s="20">
        <f>3%*D61</f>
        <v>1050000000</v>
      </c>
      <c r="M61" s="21">
        <f>AVERAGE(M48:M58)</f>
        <v>0.10494299590100184</v>
      </c>
    </row>
    <row r="62" spans="3:22" x14ac:dyDescent="0.25">
      <c r="C62" s="53" t="s">
        <v>231</v>
      </c>
      <c r="D62" s="20"/>
      <c r="E62" s="20">
        <f>3%*D62</f>
        <v>0</v>
      </c>
      <c r="M62" s="114">
        <f>L48/K43</f>
        <v>0.14689696608411695</v>
      </c>
    </row>
    <row r="63" spans="3:22" x14ac:dyDescent="0.25">
      <c r="E63" s="25">
        <f>SUM(E51:E62)</f>
        <v>8508257949.0887003</v>
      </c>
      <c r="F63" s="52">
        <f>'biaya investasi'!E16</f>
        <v>3038695578007.7598</v>
      </c>
      <c r="G63" s="67">
        <f>E63/F63</f>
        <v>2.7999704908469028E-3</v>
      </c>
      <c r="J63" s="20">
        <v>75741.179999999993</v>
      </c>
      <c r="K63" s="20">
        <f>K48</f>
        <v>236721.3</v>
      </c>
      <c r="L63" s="20">
        <v>312462</v>
      </c>
    </row>
    <row r="64" spans="3:22" x14ac:dyDescent="0.25">
      <c r="E64">
        <v>8508</v>
      </c>
      <c r="F64">
        <v>3038695</v>
      </c>
      <c r="G64" s="67">
        <f>E64/F64</f>
        <v>2.7998861353311206E-3</v>
      </c>
      <c r="J64" s="20">
        <v>87946.349999999948</v>
      </c>
      <c r="K64" s="20">
        <v>224516.13000000003</v>
      </c>
      <c r="L64" s="20">
        <v>312462</v>
      </c>
      <c r="M64" s="151">
        <f>J64/L64</f>
        <v>0.28146254584557467</v>
      </c>
      <c r="N64" s="151">
        <f>(J64-J63)/J64</f>
        <v>0.13877972195548721</v>
      </c>
      <c r="O64" s="152">
        <f>(K64-K63)/K63</f>
        <v>-5.1559238648993373E-2</v>
      </c>
    </row>
    <row r="65" spans="8:15" x14ac:dyDescent="0.25">
      <c r="J65" s="20">
        <v>101615.16999999998</v>
      </c>
      <c r="K65" s="20">
        <v>210847.31</v>
      </c>
      <c r="L65" s="20">
        <v>312462</v>
      </c>
      <c r="N65" s="151">
        <f t="shared" ref="N65:N74" si="16">(J65-J64)/J65</f>
        <v>0.13451554526750326</v>
      </c>
      <c r="O65" s="152">
        <f t="shared" ref="O65:O74" si="17">(K65-K64)/K64</f>
        <v>-6.0881238243328147E-2</v>
      </c>
    </row>
    <row r="66" spans="8:15" x14ac:dyDescent="0.25">
      <c r="H66" s="52">
        <v>75741.179999999993</v>
      </c>
      <c r="J66" s="20">
        <v>116923.10999999996</v>
      </c>
      <c r="K66" s="20">
        <v>195539.37000000002</v>
      </c>
      <c r="L66" s="20">
        <v>312462</v>
      </c>
      <c r="N66" s="151">
        <f t="shared" si="16"/>
        <v>0.13092313401516587</v>
      </c>
      <c r="O66" s="152">
        <f t="shared" si="17"/>
        <v>-7.2602017071026301E-2</v>
      </c>
    </row>
    <row r="67" spans="8:15" x14ac:dyDescent="0.25">
      <c r="H67" s="52">
        <v>236721.3</v>
      </c>
      <c r="I67" s="149">
        <f>H66/H68</f>
        <v>0.242400476216384</v>
      </c>
      <c r="J67" s="20">
        <v>134066.72999999995</v>
      </c>
      <c r="K67" s="20">
        <v>178395.75000000003</v>
      </c>
      <c r="L67" s="20">
        <v>312462</v>
      </c>
      <c r="N67" s="151">
        <f t="shared" si="16"/>
        <v>0.12787378345097253</v>
      </c>
      <c r="O67" s="152">
        <f t="shared" si="17"/>
        <v>-8.7673495112518735E-2</v>
      </c>
    </row>
    <row r="68" spans="8:15" x14ac:dyDescent="0.25">
      <c r="H68" s="52">
        <v>312463</v>
      </c>
      <c r="I68" s="150">
        <f>H67/H68</f>
        <v>0.757597859586575</v>
      </c>
      <c r="J68" s="20">
        <v>153266.17999999996</v>
      </c>
      <c r="K68" s="20">
        <v>159196.30000000002</v>
      </c>
      <c r="L68" s="20">
        <v>312462</v>
      </c>
      <c r="N68" s="151">
        <f t="shared" si="16"/>
        <v>0.1252686665773233</v>
      </c>
      <c r="O68" s="152">
        <f t="shared" si="17"/>
        <v>-0.10762279930996119</v>
      </c>
    </row>
    <row r="69" spans="8:15" x14ac:dyDescent="0.25">
      <c r="J69" s="20">
        <v>174768</v>
      </c>
      <c r="K69" s="20">
        <v>137694.47999999998</v>
      </c>
      <c r="L69" s="20">
        <v>312462</v>
      </c>
      <c r="N69" s="151">
        <f t="shared" si="16"/>
        <v>0.12303064634258008</v>
      </c>
      <c r="O69" s="152">
        <f t="shared" si="17"/>
        <v>-0.13506482248645246</v>
      </c>
    </row>
    <row r="70" spans="8:15" x14ac:dyDescent="0.25">
      <c r="J70" s="20">
        <v>198848.25999999998</v>
      </c>
      <c r="K70" s="20">
        <v>113614.22</v>
      </c>
      <c r="L70" s="20">
        <v>312462</v>
      </c>
      <c r="N70" s="151">
        <f t="shared" si="16"/>
        <v>0.12109867091620506</v>
      </c>
      <c r="O70" s="152">
        <f t="shared" si="17"/>
        <v>-0.17488181080316353</v>
      </c>
    </row>
    <row r="71" spans="8:15" x14ac:dyDescent="0.25">
      <c r="J71" s="20">
        <v>225816.15999999997</v>
      </c>
      <c r="K71" s="20">
        <v>86646.319999999992</v>
      </c>
      <c r="L71" s="20">
        <v>312462</v>
      </c>
      <c r="N71" s="151">
        <f t="shared" si="16"/>
        <v>0.11942413687310952</v>
      </c>
      <c r="O71" s="152">
        <f t="shared" si="17"/>
        <v>-0.23736377365438946</v>
      </c>
    </row>
    <row r="72" spans="8:15" x14ac:dyDescent="0.25">
      <c r="J72" s="20">
        <v>256018.02999999997</v>
      </c>
      <c r="K72" s="20">
        <v>56444.45</v>
      </c>
      <c r="L72" s="20">
        <v>312462</v>
      </c>
      <c r="N72" s="151">
        <f t="shared" si="16"/>
        <v>0.11796774625599611</v>
      </c>
      <c r="O72" s="152">
        <f t="shared" si="17"/>
        <v>-0.34856494770926216</v>
      </c>
    </row>
    <row r="73" spans="8:15" x14ac:dyDescent="0.25">
      <c r="J73" s="20">
        <v>289841.59999999998</v>
      </c>
      <c r="K73" s="20">
        <v>22620.880000000001</v>
      </c>
      <c r="L73" s="20">
        <v>312462</v>
      </c>
      <c r="N73" s="151">
        <f t="shared" si="16"/>
        <v>0.11669674056450147</v>
      </c>
      <c r="O73" s="152">
        <f t="shared" si="17"/>
        <v>-0.59923641739799027</v>
      </c>
    </row>
    <row r="74" spans="8:15" x14ac:dyDescent="0.25">
      <c r="J74" s="20">
        <v>312236.62</v>
      </c>
      <c r="K74" s="20">
        <v>225.86</v>
      </c>
      <c r="L74" s="20">
        <v>312462</v>
      </c>
      <c r="N74" s="151">
        <f t="shared" si="16"/>
        <v>7.1724514568470607E-2</v>
      </c>
      <c r="O74" s="152">
        <f t="shared" si="17"/>
        <v>-0.99001541938244664</v>
      </c>
    </row>
    <row r="95" spans="7:11" x14ac:dyDescent="0.25">
      <c r="G95">
        <v>0</v>
      </c>
      <c r="H95">
        <v>0</v>
      </c>
      <c r="I95" s="52">
        <v>0</v>
      </c>
      <c r="J95" s="52">
        <v>2127087</v>
      </c>
      <c r="K95" s="52"/>
    </row>
    <row r="96" spans="7:11" x14ac:dyDescent="0.25">
      <c r="G96">
        <v>1</v>
      </c>
      <c r="H96" s="52">
        <v>18612.009999999998</v>
      </c>
      <c r="I96" s="52">
        <v>7426.53</v>
      </c>
      <c r="J96" s="52">
        <v>26038.54</v>
      </c>
      <c r="K96" s="52">
        <v>2119660.4700000002</v>
      </c>
    </row>
    <row r="97" spans="4:11" x14ac:dyDescent="0.25">
      <c r="D97">
        <v>1</v>
      </c>
      <c r="E97" s="52">
        <f>SUM(H96:H108)</f>
        <v>236721.3</v>
      </c>
      <c r="F97" s="52">
        <f>SUM(I96:I108)</f>
        <v>101779.68999999999</v>
      </c>
      <c r="G97">
        <v>2</v>
      </c>
      <c r="H97" s="52">
        <v>18547.03</v>
      </c>
      <c r="I97" s="52">
        <v>7491.51</v>
      </c>
      <c r="J97" s="52">
        <v>26038.54</v>
      </c>
      <c r="K97" s="52">
        <v>2112168.9700000002</v>
      </c>
    </row>
    <row r="98" spans="4:11" x14ac:dyDescent="0.25">
      <c r="D98">
        <v>2</v>
      </c>
      <c r="E98" s="69">
        <f>SUM(H109:H121)</f>
        <v>224516.13000000003</v>
      </c>
      <c r="F98" s="52">
        <f t="shared" ref="F98:F107" si="18">SUM(I97:I109)</f>
        <v>102670.26</v>
      </c>
      <c r="G98">
        <v>3</v>
      </c>
      <c r="H98" s="52">
        <v>18481.48</v>
      </c>
      <c r="I98" s="52">
        <v>7557.06</v>
      </c>
      <c r="J98" s="52">
        <v>26038.54</v>
      </c>
      <c r="K98" s="52">
        <v>2104611.91</v>
      </c>
    </row>
    <row r="99" spans="4:11" x14ac:dyDescent="0.25">
      <c r="D99">
        <v>3</v>
      </c>
      <c r="E99" s="69">
        <f>SUM(H122:H134)</f>
        <v>210847.31</v>
      </c>
      <c r="F99" s="52">
        <f t="shared" si="18"/>
        <v>103568.62000000001</v>
      </c>
      <c r="G99">
        <v>4</v>
      </c>
      <c r="H99" s="52">
        <v>18415.349999999999</v>
      </c>
      <c r="I99" s="52">
        <v>7623.18</v>
      </c>
      <c r="J99" s="52">
        <v>26038.54</v>
      </c>
      <c r="K99" s="52">
        <v>2096988.72</v>
      </c>
    </row>
    <row r="100" spans="4:11" x14ac:dyDescent="0.25">
      <c r="D100">
        <v>4</v>
      </c>
      <c r="E100" s="69">
        <f>SUM(H135:H147)</f>
        <v>195539.37000000002</v>
      </c>
      <c r="F100" s="52">
        <f t="shared" si="18"/>
        <v>104474.84</v>
      </c>
      <c r="G100">
        <v>5</v>
      </c>
      <c r="H100" s="52">
        <v>18348.650000000001</v>
      </c>
      <c r="I100" s="52">
        <v>7689.89</v>
      </c>
      <c r="J100" s="52">
        <v>26038.54</v>
      </c>
      <c r="K100" s="52">
        <v>2089298.84</v>
      </c>
    </row>
    <row r="101" spans="4:11" x14ac:dyDescent="0.25">
      <c r="D101">
        <v>5</v>
      </c>
      <c r="E101" s="69">
        <f>SUM(H148:H160)</f>
        <v>178395.75000000003</v>
      </c>
      <c r="F101" s="52">
        <f t="shared" si="18"/>
        <v>105389</v>
      </c>
      <c r="G101">
        <v>6</v>
      </c>
      <c r="H101" s="52">
        <v>18281.36</v>
      </c>
      <c r="I101" s="52">
        <v>7757.17</v>
      </c>
      <c r="J101" s="52">
        <v>26038.54</v>
      </c>
      <c r="K101" s="52">
        <v>2081541.67</v>
      </c>
    </row>
    <row r="102" spans="4:11" x14ac:dyDescent="0.25">
      <c r="D102">
        <v>6</v>
      </c>
      <c r="E102" s="69">
        <f>SUM(H161:H173)</f>
        <v>159196.30000000002</v>
      </c>
      <c r="F102" s="52">
        <f t="shared" si="18"/>
        <v>106311.15</v>
      </c>
      <c r="G102">
        <v>7</v>
      </c>
      <c r="H102" s="52">
        <v>18213.490000000002</v>
      </c>
      <c r="I102" s="52">
        <v>7825.05</v>
      </c>
      <c r="J102" s="52">
        <v>26038.54</v>
      </c>
      <c r="K102" s="52">
        <v>2073716.62</v>
      </c>
    </row>
    <row r="103" spans="4:11" x14ac:dyDescent="0.25">
      <c r="D103">
        <v>7</v>
      </c>
      <c r="E103" s="69">
        <f>SUM(H174:H186)</f>
        <v>137694.47999999998</v>
      </c>
      <c r="F103" s="52">
        <f t="shared" si="18"/>
        <v>107241.38</v>
      </c>
      <c r="G103">
        <v>8</v>
      </c>
      <c r="H103" s="52">
        <v>18145.02</v>
      </c>
      <c r="I103" s="52">
        <v>7893.52</v>
      </c>
      <c r="J103" s="52">
        <v>26038.54</v>
      </c>
      <c r="K103" s="52">
        <v>2065823.1</v>
      </c>
    </row>
    <row r="104" spans="4:11" x14ac:dyDescent="0.25">
      <c r="D104">
        <v>8</v>
      </c>
      <c r="E104" s="69">
        <f>SUM(H187:H199)</f>
        <v>113614.22</v>
      </c>
      <c r="F104" s="52">
        <f t="shared" si="18"/>
        <v>108179.73999999999</v>
      </c>
      <c r="G104">
        <v>9</v>
      </c>
      <c r="H104" s="52">
        <v>18075.95</v>
      </c>
      <c r="I104" s="52">
        <v>7962.59</v>
      </c>
      <c r="J104" s="52">
        <v>26038.54</v>
      </c>
      <c r="K104" s="52">
        <v>2057860.52</v>
      </c>
    </row>
    <row r="105" spans="4:11" x14ac:dyDescent="0.25">
      <c r="D105">
        <v>9</v>
      </c>
      <c r="E105" s="69">
        <f>SUM(H200:H212)</f>
        <v>86646.319999999992</v>
      </c>
      <c r="F105" s="52">
        <f t="shared" si="18"/>
        <v>109126.31</v>
      </c>
      <c r="G105">
        <v>10</v>
      </c>
      <c r="H105" s="52">
        <v>18006.28</v>
      </c>
      <c r="I105" s="52">
        <v>8032.26</v>
      </c>
      <c r="J105" s="52">
        <v>26038.54</v>
      </c>
      <c r="K105" s="52">
        <v>2049828.26</v>
      </c>
    </row>
    <row r="106" spans="4:11" x14ac:dyDescent="0.25">
      <c r="D106">
        <v>10</v>
      </c>
      <c r="E106" s="69">
        <f>SUM(H213:H225)</f>
        <v>56444.45</v>
      </c>
      <c r="F106" s="52">
        <f t="shared" si="18"/>
        <v>110081.16</v>
      </c>
      <c r="G106">
        <v>11</v>
      </c>
      <c r="H106" s="52">
        <v>17936</v>
      </c>
      <c r="I106" s="52">
        <v>8102.54</v>
      </c>
      <c r="J106" s="52">
        <v>26038.54</v>
      </c>
      <c r="K106" s="52">
        <v>2041725.72</v>
      </c>
    </row>
    <row r="107" spans="4:11" x14ac:dyDescent="0.25">
      <c r="D107">
        <v>11</v>
      </c>
      <c r="E107" s="69">
        <f>SUM(H226:H238)</f>
        <v>22620.880000000001</v>
      </c>
      <c r="F107" s="52">
        <f t="shared" si="18"/>
        <v>111044.37</v>
      </c>
      <c r="G107">
        <v>12</v>
      </c>
      <c r="H107" s="52">
        <v>17865.099999999999</v>
      </c>
      <c r="I107" s="52">
        <v>8173.44</v>
      </c>
      <c r="J107" s="52">
        <v>26038.54</v>
      </c>
      <c r="K107" s="52">
        <v>2033552.28</v>
      </c>
    </row>
    <row r="108" spans="4:11" x14ac:dyDescent="0.25">
      <c r="D108">
        <v>12</v>
      </c>
      <c r="E108" s="69">
        <f>H239</f>
        <v>225.86</v>
      </c>
      <c r="F108" s="69">
        <f>I239</f>
        <v>25812.68</v>
      </c>
      <c r="G108">
        <v>13</v>
      </c>
      <c r="H108" s="52">
        <v>17793.580000000002</v>
      </c>
      <c r="I108" s="52">
        <v>8244.9500000000007</v>
      </c>
      <c r="J108" s="52">
        <v>26038.54</v>
      </c>
      <c r="K108" s="52">
        <v>2025307.32</v>
      </c>
    </row>
    <row r="109" spans="4:11" x14ac:dyDescent="0.25">
      <c r="E109" s="69">
        <f>SUM(E97:E107)</f>
        <v>1622236.5099999998</v>
      </c>
      <c r="F109" s="69">
        <f>SUM(F97:F107)</f>
        <v>1169866.52</v>
      </c>
      <c r="G109">
        <v>14</v>
      </c>
      <c r="H109" s="52">
        <v>17721.439999999999</v>
      </c>
      <c r="I109" s="52">
        <v>8317.1</v>
      </c>
      <c r="J109" s="52">
        <v>26038.54</v>
      </c>
      <c r="K109" s="52">
        <v>2016990.23</v>
      </c>
    </row>
    <row r="110" spans="4:11" x14ac:dyDescent="0.25">
      <c r="G110">
        <v>15</v>
      </c>
      <c r="H110" s="52">
        <v>17648.66</v>
      </c>
      <c r="I110" s="52">
        <v>8389.8700000000008</v>
      </c>
      <c r="J110" s="52">
        <v>26038.54</v>
      </c>
      <c r="K110" s="52">
        <v>2008600.35</v>
      </c>
    </row>
    <row r="111" spans="4:11" x14ac:dyDescent="0.25">
      <c r="G111">
        <v>16</v>
      </c>
      <c r="H111" s="52">
        <v>17575.25</v>
      </c>
      <c r="I111" s="52">
        <v>8463.2800000000007</v>
      </c>
      <c r="J111" s="52">
        <v>26038.54</v>
      </c>
      <c r="K111" s="52">
        <v>2000137.07</v>
      </c>
    </row>
    <row r="112" spans="4:11" x14ac:dyDescent="0.25">
      <c r="G112">
        <v>17</v>
      </c>
      <c r="H112" s="52">
        <v>17501.2</v>
      </c>
      <c r="I112" s="52">
        <v>8537.34</v>
      </c>
      <c r="J112" s="52">
        <v>26038.54</v>
      </c>
      <c r="K112" s="52">
        <v>1991599.73</v>
      </c>
    </row>
    <row r="113" spans="7:11" x14ac:dyDescent="0.25">
      <c r="G113">
        <v>18</v>
      </c>
      <c r="H113" s="52">
        <v>17426.5</v>
      </c>
      <c r="I113" s="52">
        <v>8612.0400000000009</v>
      </c>
      <c r="J113" s="52">
        <v>26038.54</v>
      </c>
      <c r="K113" s="52">
        <v>1982987.69</v>
      </c>
    </row>
    <row r="114" spans="7:11" x14ac:dyDescent="0.25">
      <c r="G114">
        <v>19</v>
      </c>
      <c r="H114" s="52">
        <v>17351.14</v>
      </c>
      <c r="I114" s="52">
        <v>8687.4</v>
      </c>
      <c r="J114" s="52">
        <v>26038.54</v>
      </c>
      <c r="K114" s="52">
        <v>1974300.3</v>
      </c>
    </row>
    <row r="115" spans="7:11" x14ac:dyDescent="0.25">
      <c r="G115">
        <v>20</v>
      </c>
      <c r="H115" s="52">
        <v>17275.13</v>
      </c>
      <c r="I115" s="52">
        <v>8763.41</v>
      </c>
      <c r="J115" s="52">
        <v>26038.54</v>
      </c>
      <c r="K115" s="52">
        <v>1965536.89</v>
      </c>
    </row>
    <row r="116" spans="7:11" x14ac:dyDescent="0.25">
      <c r="G116">
        <v>21</v>
      </c>
      <c r="H116" s="52">
        <v>17198.45</v>
      </c>
      <c r="I116" s="52">
        <v>8840.09</v>
      </c>
      <c r="J116" s="52">
        <v>26038.54</v>
      </c>
      <c r="K116" s="52">
        <v>1956696.8</v>
      </c>
    </row>
    <row r="117" spans="7:11" x14ac:dyDescent="0.25">
      <c r="G117">
        <v>22</v>
      </c>
      <c r="H117" s="52">
        <v>17121.099999999999</v>
      </c>
      <c r="I117" s="52">
        <v>8917.44</v>
      </c>
      <c r="J117" s="52">
        <v>26038.54</v>
      </c>
      <c r="K117" s="52">
        <v>1947779.36</v>
      </c>
    </row>
    <row r="118" spans="7:11" x14ac:dyDescent="0.25">
      <c r="G118">
        <v>23</v>
      </c>
      <c r="H118" s="52">
        <v>17043.07</v>
      </c>
      <c r="I118" s="52">
        <v>8995.4699999999993</v>
      </c>
      <c r="J118" s="52">
        <v>26038.54</v>
      </c>
      <c r="K118" s="52">
        <v>1938783.89</v>
      </c>
    </row>
    <row r="119" spans="7:11" x14ac:dyDescent="0.25">
      <c r="G119">
        <v>24</v>
      </c>
      <c r="H119" s="52">
        <v>16964.36</v>
      </c>
      <c r="I119" s="52">
        <v>9074.18</v>
      </c>
      <c r="J119" s="52">
        <v>26038.54</v>
      </c>
      <c r="K119" s="52">
        <v>1929709.71</v>
      </c>
    </row>
    <row r="120" spans="7:11" x14ac:dyDescent="0.25">
      <c r="G120">
        <v>25</v>
      </c>
      <c r="H120" s="52">
        <v>16884.96</v>
      </c>
      <c r="I120" s="52">
        <v>9153.58</v>
      </c>
      <c r="J120" s="52">
        <v>26038.54</v>
      </c>
      <c r="K120" s="52">
        <v>1920556.13</v>
      </c>
    </row>
    <row r="121" spans="7:11" x14ac:dyDescent="0.25">
      <c r="G121">
        <v>26</v>
      </c>
      <c r="H121" s="52">
        <v>16804.87</v>
      </c>
      <c r="I121" s="52">
        <v>9233.67</v>
      </c>
      <c r="J121" s="52">
        <v>26038.54</v>
      </c>
      <c r="K121" s="52">
        <v>1911322.46</v>
      </c>
    </row>
    <row r="122" spans="7:11" x14ac:dyDescent="0.25">
      <c r="G122">
        <v>27</v>
      </c>
      <c r="H122" s="52">
        <v>16724.07</v>
      </c>
      <c r="I122" s="52">
        <v>9314.4699999999993</v>
      </c>
      <c r="J122" s="52">
        <v>26038.54</v>
      </c>
      <c r="K122" s="52">
        <v>1902008</v>
      </c>
    </row>
    <row r="123" spans="7:11" x14ac:dyDescent="0.25">
      <c r="G123">
        <v>28</v>
      </c>
      <c r="H123" s="52">
        <v>16642.57</v>
      </c>
      <c r="I123" s="52">
        <v>9395.9699999999993</v>
      </c>
      <c r="J123" s="52">
        <v>26038.54</v>
      </c>
      <c r="K123" s="52">
        <v>1892612.03</v>
      </c>
    </row>
    <row r="124" spans="7:11" x14ac:dyDescent="0.25">
      <c r="G124">
        <v>29</v>
      </c>
      <c r="H124" s="52">
        <v>16560.36</v>
      </c>
      <c r="I124" s="52">
        <v>9478.18</v>
      </c>
      <c r="J124" s="52">
        <v>26038.54</v>
      </c>
      <c r="K124" s="52">
        <v>1883133.85</v>
      </c>
    </row>
    <row r="125" spans="7:11" x14ac:dyDescent="0.25">
      <c r="G125">
        <v>30</v>
      </c>
      <c r="H125" s="52">
        <v>16477.419999999998</v>
      </c>
      <c r="I125" s="52">
        <v>9561.1200000000008</v>
      </c>
      <c r="J125" s="52">
        <v>26038.54</v>
      </c>
      <c r="K125" s="52">
        <v>1873572.73</v>
      </c>
    </row>
    <row r="126" spans="7:11" x14ac:dyDescent="0.25">
      <c r="G126">
        <v>31</v>
      </c>
      <c r="H126" s="52">
        <v>16393.759999999998</v>
      </c>
      <c r="I126" s="52">
        <v>9644.7800000000007</v>
      </c>
      <c r="J126" s="52">
        <v>26038.54</v>
      </c>
      <c r="K126" s="52">
        <v>1863927.95</v>
      </c>
    </row>
    <row r="127" spans="7:11" x14ac:dyDescent="0.25">
      <c r="G127">
        <v>32</v>
      </c>
      <c r="H127" s="52">
        <v>16309.37</v>
      </c>
      <c r="I127" s="52">
        <v>9729.17</v>
      </c>
      <c r="J127" s="52">
        <v>26038.54</v>
      </c>
      <c r="K127" s="52">
        <v>1854198.79</v>
      </c>
    </row>
    <row r="128" spans="7:11" x14ac:dyDescent="0.25">
      <c r="G128">
        <v>33</v>
      </c>
      <c r="H128" s="52">
        <v>16224.24</v>
      </c>
      <c r="I128" s="52">
        <v>9814.2999999999993</v>
      </c>
      <c r="J128" s="52">
        <v>26038.54</v>
      </c>
      <c r="K128" s="52">
        <v>1844384.49</v>
      </c>
    </row>
    <row r="129" spans="7:11" x14ac:dyDescent="0.25">
      <c r="G129">
        <v>34</v>
      </c>
      <c r="H129" s="52">
        <v>16138.36</v>
      </c>
      <c r="I129" s="52">
        <v>9900.17</v>
      </c>
      <c r="J129" s="52">
        <v>26038.54</v>
      </c>
      <c r="K129" s="52">
        <v>1834484.32</v>
      </c>
    </row>
    <row r="130" spans="7:11" x14ac:dyDescent="0.25">
      <c r="G130">
        <v>35</v>
      </c>
      <c r="H130" s="52">
        <v>16051.74</v>
      </c>
      <c r="I130" s="52">
        <v>9986.7999999999993</v>
      </c>
      <c r="J130" s="52">
        <v>26038.54</v>
      </c>
      <c r="K130" s="52">
        <v>1824497.52</v>
      </c>
    </row>
    <row r="131" spans="7:11" x14ac:dyDescent="0.25">
      <c r="G131">
        <v>36</v>
      </c>
      <c r="H131" s="52">
        <v>15964.35</v>
      </c>
      <c r="I131" s="52">
        <v>10074.18</v>
      </c>
      <c r="J131" s="52">
        <v>26038.54</v>
      </c>
      <c r="K131" s="52">
        <v>1814423.33</v>
      </c>
    </row>
    <row r="132" spans="7:11" x14ac:dyDescent="0.25">
      <c r="G132">
        <v>37</v>
      </c>
      <c r="H132" s="52">
        <v>15876.2</v>
      </c>
      <c r="I132" s="52">
        <v>10162.33</v>
      </c>
      <c r="J132" s="52">
        <v>26038.54</v>
      </c>
      <c r="K132" s="52">
        <v>1804261</v>
      </c>
    </row>
    <row r="133" spans="7:11" x14ac:dyDescent="0.25">
      <c r="G133">
        <v>38</v>
      </c>
      <c r="H133" s="52">
        <v>15787.28</v>
      </c>
      <c r="I133" s="52">
        <v>10251.25</v>
      </c>
      <c r="J133" s="52">
        <v>26038.54</v>
      </c>
      <c r="K133" s="52">
        <v>1794009.75</v>
      </c>
    </row>
    <row r="134" spans="7:11" x14ac:dyDescent="0.25">
      <c r="G134">
        <v>39</v>
      </c>
      <c r="H134" s="52">
        <v>15697.59</v>
      </c>
      <c r="I134" s="52">
        <v>10340.950000000001</v>
      </c>
      <c r="J134" s="52">
        <v>26038.54</v>
      </c>
      <c r="K134" s="52">
        <v>1783668.79</v>
      </c>
    </row>
    <row r="135" spans="7:11" x14ac:dyDescent="0.25">
      <c r="G135">
        <v>40</v>
      </c>
      <c r="H135" s="52">
        <v>15607.1</v>
      </c>
      <c r="I135" s="52">
        <v>10431.44</v>
      </c>
      <c r="J135" s="52">
        <v>26038.54</v>
      </c>
      <c r="K135" s="52">
        <v>1773237.36</v>
      </c>
    </row>
    <row r="136" spans="7:11" x14ac:dyDescent="0.25">
      <c r="G136">
        <v>41</v>
      </c>
      <c r="H136" s="52">
        <v>15515.83</v>
      </c>
      <c r="I136" s="52">
        <v>10522.71</v>
      </c>
      <c r="J136" s="52">
        <v>26038.54</v>
      </c>
      <c r="K136" s="52">
        <v>1762714.65</v>
      </c>
    </row>
    <row r="137" spans="7:11" x14ac:dyDescent="0.25">
      <c r="G137">
        <v>42</v>
      </c>
      <c r="H137" s="52">
        <v>15423.75</v>
      </c>
      <c r="I137" s="52">
        <v>10614.78</v>
      </c>
      <c r="J137" s="52">
        <v>26038.54</v>
      </c>
      <c r="K137" s="52">
        <v>1752099.86</v>
      </c>
    </row>
    <row r="138" spans="7:11" x14ac:dyDescent="0.25">
      <c r="G138">
        <v>43</v>
      </c>
      <c r="H138" s="52">
        <v>15330.87</v>
      </c>
      <c r="I138" s="52">
        <v>10707.66</v>
      </c>
      <c r="J138" s="52">
        <v>26038.54</v>
      </c>
      <c r="K138" s="52">
        <v>1741392.2</v>
      </c>
    </row>
    <row r="139" spans="7:11" x14ac:dyDescent="0.25">
      <c r="G139">
        <v>44</v>
      </c>
      <c r="H139" s="52">
        <v>15237.18</v>
      </c>
      <c r="I139" s="52">
        <v>10801.36</v>
      </c>
      <c r="J139" s="52">
        <v>26038.54</v>
      </c>
      <c r="K139" s="52">
        <v>1730590.84</v>
      </c>
    </row>
    <row r="140" spans="7:11" x14ac:dyDescent="0.25">
      <c r="G140">
        <v>45</v>
      </c>
      <c r="H140" s="52">
        <v>15142.67</v>
      </c>
      <c r="I140" s="52">
        <v>10895.87</v>
      </c>
      <c r="J140" s="52">
        <v>26038.54</v>
      </c>
      <c r="K140" s="52">
        <v>1719694.98</v>
      </c>
    </row>
    <row r="141" spans="7:11" x14ac:dyDescent="0.25">
      <c r="G141">
        <v>46</v>
      </c>
      <c r="H141" s="52">
        <v>15047.33</v>
      </c>
      <c r="I141" s="52">
        <v>10991.21</v>
      </c>
      <c r="J141" s="52">
        <v>26038.54</v>
      </c>
      <c r="K141" s="52">
        <v>1708703.77</v>
      </c>
    </row>
    <row r="142" spans="7:11" x14ac:dyDescent="0.25">
      <c r="G142">
        <v>47</v>
      </c>
      <c r="H142" s="52">
        <v>14951.16</v>
      </c>
      <c r="I142" s="52">
        <v>11087.38</v>
      </c>
      <c r="J142" s="52">
        <v>26038.54</v>
      </c>
      <c r="K142" s="52">
        <v>1697616.39</v>
      </c>
    </row>
    <row r="143" spans="7:11" x14ac:dyDescent="0.25">
      <c r="G143">
        <v>48</v>
      </c>
      <c r="H143" s="52">
        <v>14854.14</v>
      </c>
      <c r="I143" s="52">
        <v>11184.39</v>
      </c>
      <c r="J143" s="52">
        <v>26038.54</v>
      </c>
      <c r="K143" s="52">
        <v>1686432</v>
      </c>
    </row>
    <row r="144" spans="7:11" x14ac:dyDescent="0.25">
      <c r="G144">
        <v>49</v>
      </c>
      <c r="H144" s="52">
        <v>14756.28</v>
      </c>
      <c r="I144" s="52">
        <v>11282.26</v>
      </c>
      <c r="J144" s="52">
        <v>26038.54</v>
      </c>
      <c r="K144" s="52">
        <v>1675149.74</v>
      </c>
    </row>
    <row r="145" spans="7:11" x14ac:dyDescent="0.25">
      <c r="G145">
        <v>50</v>
      </c>
      <c r="H145" s="52">
        <v>14657.56</v>
      </c>
      <c r="I145" s="52">
        <v>11380.98</v>
      </c>
      <c r="J145" s="52">
        <v>26038.54</v>
      </c>
      <c r="K145" s="52">
        <v>1663768.76</v>
      </c>
    </row>
    <row r="146" spans="7:11" x14ac:dyDescent="0.25">
      <c r="G146">
        <v>51</v>
      </c>
      <c r="H146" s="52">
        <v>14557.98</v>
      </c>
      <c r="I146" s="52">
        <v>11480.56</v>
      </c>
      <c r="J146" s="52">
        <v>26038.54</v>
      </c>
      <c r="K146" s="52">
        <v>1652288.2</v>
      </c>
    </row>
    <row r="147" spans="7:11" x14ac:dyDescent="0.25">
      <c r="G147">
        <v>52</v>
      </c>
      <c r="H147" s="52">
        <v>14457.52</v>
      </c>
      <c r="I147" s="52">
        <v>11581.02</v>
      </c>
      <c r="J147" s="52">
        <v>26038.54</v>
      </c>
      <c r="K147" s="52">
        <v>1640707.19</v>
      </c>
    </row>
    <row r="148" spans="7:11" x14ac:dyDescent="0.25">
      <c r="G148">
        <v>53</v>
      </c>
      <c r="H148" s="52">
        <v>14356.19</v>
      </c>
      <c r="I148" s="52">
        <v>11682.35</v>
      </c>
      <c r="J148" s="52">
        <v>26038.54</v>
      </c>
      <c r="K148" s="52">
        <v>1629024.84</v>
      </c>
    </row>
    <row r="149" spans="7:11" x14ac:dyDescent="0.25">
      <c r="G149">
        <v>54</v>
      </c>
      <c r="H149" s="52">
        <v>14253.97</v>
      </c>
      <c r="I149" s="52">
        <v>11784.57</v>
      </c>
      <c r="J149" s="52">
        <v>26038.54</v>
      </c>
      <c r="K149" s="52">
        <v>1617240.27</v>
      </c>
    </row>
    <row r="150" spans="7:11" x14ac:dyDescent="0.25">
      <c r="G150">
        <v>55</v>
      </c>
      <c r="H150" s="52">
        <v>14150.85</v>
      </c>
      <c r="I150" s="52">
        <v>11887.69</v>
      </c>
      <c r="J150" s="52">
        <v>26038.54</v>
      </c>
      <c r="K150" s="52">
        <v>1605352.58</v>
      </c>
    </row>
    <row r="151" spans="7:11" x14ac:dyDescent="0.25">
      <c r="G151">
        <v>56</v>
      </c>
      <c r="H151" s="52">
        <v>14046.84</v>
      </c>
      <c r="I151" s="52">
        <v>11991.7</v>
      </c>
      <c r="J151" s="52">
        <v>26038.54</v>
      </c>
      <c r="K151" s="52">
        <v>1593360.88</v>
      </c>
    </row>
    <row r="152" spans="7:11" x14ac:dyDescent="0.25">
      <c r="G152">
        <v>57</v>
      </c>
      <c r="H152" s="52">
        <v>13941.91</v>
      </c>
      <c r="I152" s="52">
        <v>12096.63</v>
      </c>
      <c r="J152" s="52">
        <v>26038.54</v>
      </c>
      <c r="K152" s="52">
        <v>1581264.25</v>
      </c>
    </row>
    <row r="153" spans="7:11" x14ac:dyDescent="0.25">
      <c r="G153">
        <v>58</v>
      </c>
      <c r="H153" s="52">
        <v>13836.06</v>
      </c>
      <c r="I153" s="52">
        <v>12202.48</v>
      </c>
      <c r="J153" s="52">
        <v>26038.54</v>
      </c>
      <c r="K153" s="52">
        <v>1569061.77</v>
      </c>
    </row>
    <row r="154" spans="7:11" x14ac:dyDescent="0.25">
      <c r="G154">
        <v>59</v>
      </c>
      <c r="H154" s="52">
        <v>13729.29</v>
      </c>
      <c r="I154" s="52">
        <v>12309.25</v>
      </c>
      <c r="J154" s="52">
        <v>26038.54</v>
      </c>
      <c r="K154" s="52">
        <v>1556752.53</v>
      </c>
    </row>
    <row r="155" spans="7:11" x14ac:dyDescent="0.25">
      <c r="G155">
        <v>60</v>
      </c>
      <c r="H155" s="52">
        <v>13621.58</v>
      </c>
      <c r="I155" s="52">
        <v>12416.95</v>
      </c>
      <c r="J155" s="52">
        <v>26038.54</v>
      </c>
      <c r="K155" s="52">
        <v>1544335.57</v>
      </c>
    </row>
    <row r="156" spans="7:11" x14ac:dyDescent="0.25">
      <c r="G156">
        <v>61</v>
      </c>
      <c r="H156" s="52">
        <v>13512.94</v>
      </c>
      <c r="I156" s="52">
        <v>12525.6</v>
      </c>
      <c r="J156" s="52">
        <v>26038.54</v>
      </c>
      <c r="K156" s="52">
        <v>1531809.97</v>
      </c>
    </row>
    <row r="157" spans="7:11" x14ac:dyDescent="0.25">
      <c r="G157">
        <v>62</v>
      </c>
      <c r="H157" s="52">
        <v>13403.34</v>
      </c>
      <c r="I157" s="52">
        <v>12635.2</v>
      </c>
      <c r="J157" s="52">
        <v>26038.54</v>
      </c>
      <c r="K157" s="52">
        <v>1519174.77</v>
      </c>
    </row>
    <row r="158" spans="7:11" x14ac:dyDescent="0.25">
      <c r="G158">
        <v>63</v>
      </c>
      <c r="H158" s="52">
        <v>13292.78</v>
      </c>
      <c r="I158" s="52">
        <v>12745.76</v>
      </c>
      <c r="J158" s="52">
        <v>26038.54</v>
      </c>
      <c r="K158" s="52">
        <v>1506429.02</v>
      </c>
    </row>
    <row r="159" spans="7:11" x14ac:dyDescent="0.25">
      <c r="G159">
        <v>64</v>
      </c>
      <c r="H159" s="52">
        <v>13181.25</v>
      </c>
      <c r="I159" s="52">
        <v>12857.28</v>
      </c>
      <c r="J159" s="52">
        <v>26038.54</v>
      </c>
      <c r="K159" s="52">
        <v>1493571.73</v>
      </c>
    </row>
    <row r="160" spans="7:11" x14ac:dyDescent="0.25">
      <c r="G160">
        <v>65</v>
      </c>
      <c r="H160" s="52">
        <v>13068.75</v>
      </c>
      <c r="I160" s="52">
        <v>12969.78</v>
      </c>
      <c r="J160" s="52">
        <v>26038.54</v>
      </c>
      <c r="K160" s="52">
        <v>1480601.95</v>
      </c>
    </row>
    <row r="161" spans="7:11" x14ac:dyDescent="0.25">
      <c r="G161">
        <v>66</v>
      </c>
      <c r="H161" s="52">
        <v>12955.27</v>
      </c>
      <c r="I161" s="52">
        <v>13083.27</v>
      </c>
      <c r="J161" s="52">
        <v>26038.54</v>
      </c>
      <c r="K161" s="52">
        <v>1467518.68</v>
      </c>
    </row>
    <row r="162" spans="7:11" x14ac:dyDescent="0.25">
      <c r="G162">
        <v>67</v>
      </c>
      <c r="H162" s="52">
        <v>12840.79</v>
      </c>
      <c r="I162" s="52">
        <v>13197.75</v>
      </c>
      <c r="J162" s="52">
        <v>26038.54</v>
      </c>
      <c r="K162" s="52">
        <v>1454320.93</v>
      </c>
    </row>
    <row r="163" spans="7:11" x14ac:dyDescent="0.25">
      <c r="G163">
        <v>68</v>
      </c>
      <c r="H163" s="52">
        <v>12725.31</v>
      </c>
      <c r="I163" s="52">
        <v>13313.23</v>
      </c>
      <c r="J163" s="52">
        <v>26038.54</v>
      </c>
      <c r="K163" s="52">
        <v>1441007.7</v>
      </c>
    </row>
    <row r="164" spans="7:11" x14ac:dyDescent="0.25">
      <c r="G164">
        <v>69</v>
      </c>
      <c r="H164" s="52">
        <v>12608.82</v>
      </c>
      <c r="I164" s="52">
        <v>13429.72</v>
      </c>
      <c r="J164" s="52">
        <v>26038.54</v>
      </c>
      <c r="K164" s="52">
        <v>1427577.98</v>
      </c>
    </row>
    <row r="165" spans="7:11" x14ac:dyDescent="0.25">
      <c r="G165">
        <v>70</v>
      </c>
      <c r="H165" s="52">
        <v>12491.31</v>
      </c>
      <c r="I165" s="52">
        <v>13547.23</v>
      </c>
      <c r="J165" s="52">
        <v>26038.54</v>
      </c>
      <c r="K165" s="52">
        <v>1414030.75</v>
      </c>
    </row>
    <row r="166" spans="7:11" x14ac:dyDescent="0.25">
      <c r="G166">
        <v>71</v>
      </c>
      <c r="H166" s="52">
        <v>12372.77</v>
      </c>
      <c r="I166" s="52">
        <v>13665.77</v>
      </c>
      <c r="J166" s="52">
        <v>26038.54</v>
      </c>
      <c r="K166" s="52">
        <v>1400364.98</v>
      </c>
    </row>
    <row r="167" spans="7:11" x14ac:dyDescent="0.25">
      <c r="G167">
        <v>72</v>
      </c>
      <c r="H167" s="52">
        <v>12253.19</v>
      </c>
      <c r="I167" s="52">
        <v>13785.34</v>
      </c>
      <c r="J167" s="52">
        <v>26038.54</v>
      </c>
      <c r="K167" s="52">
        <v>1386579.64</v>
      </c>
    </row>
    <row r="168" spans="7:11" x14ac:dyDescent="0.25">
      <c r="G168">
        <v>73</v>
      </c>
      <c r="H168" s="52">
        <v>12132.57</v>
      </c>
      <c r="I168" s="52">
        <v>13905.97</v>
      </c>
      <c r="J168" s="52">
        <v>26038.54</v>
      </c>
      <c r="K168" s="52">
        <v>1372673.67</v>
      </c>
    </row>
    <row r="169" spans="7:11" x14ac:dyDescent="0.25">
      <c r="G169">
        <v>74</v>
      </c>
      <c r="H169" s="52">
        <v>12010.89</v>
      </c>
      <c r="I169" s="52">
        <v>14027.64</v>
      </c>
      <c r="J169" s="52">
        <v>26038.54</v>
      </c>
      <c r="K169" s="52">
        <v>1358646.03</v>
      </c>
    </row>
    <row r="170" spans="7:11" x14ac:dyDescent="0.25">
      <c r="G170">
        <v>75</v>
      </c>
      <c r="H170" s="52">
        <v>11888.15</v>
      </c>
      <c r="I170" s="52">
        <v>14150.38</v>
      </c>
      <c r="J170" s="52">
        <v>26038.54</v>
      </c>
      <c r="K170" s="52">
        <v>1344495.64</v>
      </c>
    </row>
    <row r="171" spans="7:11" x14ac:dyDescent="0.25">
      <c r="G171">
        <v>76</v>
      </c>
      <c r="H171" s="52">
        <v>11764.34</v>
      </c>
      <c r="I171" s="52">
        <v>14274.2</v>
      </c>
      <c r="J171" s="52">
        <v>26038.54</v>
      </c>
      <c r="K171" s="52">
        <v>1330221.44</v>
      </c>
    </row>
    <row r="172" spans="7:11" x14ac:dyDescent="0.25">
      <c r="G172">
        <v>77</v>
      </c>
      <c r="H172" s="52">
        <v>11639.44</v>
      </c>
      <c r="I172" s="52">
        <v>14399.1</v>
      </c>
      <c r="J172" s="52">
        <v>26038.54</v>
      </c>
      <c r="K172" s="52">
        <v>1315822.3400000001</v>
      </c>
    </row>
    <row r="173" spans="7:11" x14ac:dyDescent="0.25">
      <c r="G173">
        <v>78</v>
      </c>
      <c r="H173" s="52">
        <v>11513.45</v>
      </c>
      <c r="I173" s="52">
        <v>14525.09</v>
      </c>
      <c r="J173" s="52">
        <v>26038.54</v>
      </c>
      <c r="K173" s="52">
        <v>1301297.25</v>
      </c>
    </row>
    <row r="174" spans="7:11" x14ac:dyDescent="0.25">
      <c r="G174">
        <v>79</v>
      </c>
      <c r="H174" s="52">
        <v>11386.35</v>
      </c>
      <c r="I174" s="52">
        <v>14652.19</v>
      </c>
      <c r="J174" s="52">
        <v>26038.54</v>
      </c>
      <c r="K174" s="52">
        <v>1286645.07</v>
      </c>
    </row>
    <row r="175" spans="7:11" x14ac:dyDescent="0.25">
      <c r="G175">
        <v>80</v>
      </c>
      <c r="H175" s="52">
        <v>11258.14</v>
      </c>
      <c r="I175" s="52">
        <v>14780.39</v>
      </c>
      <c r="J175" s="52">
        <v>26038.54</v>
      </c>
      <c r="K175" s="52">
        <v>1271864.67</v>
      </c>
    </row>
    <row r="176" spans="7:11" x14ac:dyDescent="0.25">
      <c r="G176">
        <v>81</v>
      </c>
      <c r="H176" s="52">
        <v>11128.82</v>
      </c>
      <c r="I176" s="52">
        <v>14909.72</v>
      </c>
      <c r="J176" s="52">
        <v>26038.54</v>
      </c>
      <c r="K176" s="52">
        <v>1256954.95</v>
      </c>
    </row>
    <row r="177" spans="7:11" x14ac:dyDescent="0.25">
      <c r="G177">
        <v>82</v>
      </c>
      <c r="H177" s="52">
        <v>10998.36</v>
      </c>
      <c r="I177" s="52">
        <v>15040.18</v>
      </c>
      <c r="J177" s="52">
        <v>26038.54</v>
      </c>
      <c r="K177" s="52">
        <v>1241914.77</v>
      </c>
    </row>
    <row r="178" spans="7:11" x14ac:dyDescent="0.25">
      <c r="G178">
        <v>83</v>
      </c>
      <c r="H178" s="52">
        <v>10866.75</v>
      </c>
      <c r="I178" s="52">
        <v>15171.78</v>
      </c>
      <c r="J178" s="52">
        <v>26038.54</v>
      </c>
      <c r="K178" s="52">
        <v>1226742.99</v>
      </c>
    </row>
    <row r="179" spans="7:11" x14ac:dyDescent="0.25">
      <c r="G179">
        <v>84</v>
      </c>
      <c r="H179" s="52">
        <v>10734</v>
      </c>
      <c r="I179" s="52">
        <v>15304.54</v>
      </c>
      <c r="J179" s="52">
        <v>26038.54</v>
      </c>
      <c r="K179" s="52">
        <v>1211438.45</v>
      </c>
    </row>
    <row r="180" spans="7:11" x14ac:dyDescent="0.25">
      <c r="G180">
        <v>85</v>
      </c>
      <c r="H180" s="52">
        <v>10600.09</v>
      </c>
      <c r="I180" s="52">
        <v>15438.45</v>
      </c>
      <c r="J180" s="52">
        <v>26038.54</v>
      </c>
      <c r="K180" s="52">
        <v>1196000</v>
      </c>
    </row>
    <row r="181" spans="7:11" x14ac:dyDescent="0.25">
      <c r="G181">
        <v>86</v>
      </c>
      <c r="H181" s="52">
        <v>10465</v>
      </c>
      <c r="I181" s="52">
        <v>15573.54</v>
      </c>
      <c r="J181" s="52">
        <v>26038.54</v>
      </c>
      <c r="K181" s="52">
        <v>1180426.46</v>
      </c>
    </row>
    <row r="182" spans="7:11" x14ac:dyDescent="0.25">
      <c r="G182">
        <v>87</v>
      </c>
      <c r="H182" s="52">
        <v>10328.73</v>
      </c>
      <c r="I182" s="52">
        <v>15709.81</v>
      </c>
      <c r="J182" s="52">
        <v>26038.54</v>
      </c>
      <c r="K182" s="52">
        <v>1164716.6599999999</v>
      </c>
    </row>
    <row r="183" spans="7:11" x14ac:dyDescent="0.25">
      <c r="G183">
        <v>88</v>
      </c>
      <c r="H183" s="52">
        <v>10191.27</v>
      </c>
      <c r="I183" s="52">
        <v>15847.27</v>
      </c>
      <c r="J183" s="52">
        <v>26038.54</v>
      </c>
      <c r="K183" s="52">
        <v>1148869.3899999999</v>
      </c>
    </row>
    <row r="184" spans="7:11" x14ac:dyDescent="0.25">
      <c r="G184">
        <v>89</v>
      </c>
      <c r="H184" s="52">
        <v>10052.61</v>
      </c>
      <c r="I184" s="52">
        <v>15985.93</v>
      </c>
      <c r="J184" s="52">
        <v>26038.54</v>
      </c>
      <c r="K184" s="52">
        <v>1132883.46</v>
      </c>
    </row>
    <row r="185" spans="7:11" x14ac:dyDescent="0.25">
      <c r="G185">
        <v>90</v>
      </c>
      <c r="H185" s="52">
        <v>9912.73</v>
      </c>
      <c r="I185" s="52">
        <v>16125.81</v>
      </c>
      <c r="J185" s="52">
        <v>26038.54</v>
      </c>
      <c r="K185" s="52">
        <v>1116757.6499999999</v>
      </c>
    </row>
    <row r="186" spans="7:11" x14ac:dyDescent="0.25">
      <c r="G186">
        <v>91</v>
      </c>
      <c r="H186" s="52">
        <v>9771.6299999999992</v>
      </c>
      <c r="I186" s="52">
        <v>16266.91</v>
      </c>
      <c r="J186" s="52">
        <v>26038.54</v>
      </c>
      <c r="K186" s="52">
        <v>1100490.74</v>
      </c>
    </row>
    <row r="187" spans="7:11" x14ac:dyDescent="0.25">
      <c r="G187">
        <v>92</v>
      </c>
      <c r="H187" s="52">
        <v>9629.2900000000009</v>
      </c>
      <c r="I187" s="52">
        <v>16409.240000000002</v>
      </c>
      <c r="J187" s="52">
        <v>26038.54</v>
      </c>
      <c r="K187" s="52">
        <v>1084081.5</v>
      </c>
    </row>
    <row r="188" spans="7:11" x14ac:dyDescent="0.25">
      <c r="G188">
        <v>93</v>
      </c>
      <c r="H188" s="52">
        <v>9485.7099999999991</v>
      </c>
      <c r="I188" s="52">
        <v>16552.82</v>
      </c>
      <c r="J188" s="52">
        <v>26038.54</v>
      </c>
      <c r="K188" s="52">
        <v>1067528.68</v>
      </c>
    </row>
    <row r="189" spans="7:11" x14ac:dyDescent="0.25">
      <c r="G189">
        <v>94</v>
      </c>
      <c r="H189" s="52">
        <v>9340.8799999999992</v>
      </c>
      <c r="I189" s="52">
        <v>16697.66</v>
      </c>
      <c r="J189" s="52">
        <v>26038.54</v>
      </c>
      <c r="K189" s="52">
        <v>1050831.02</v>
      </c>
    </row>
    <row r="190" spans="7:11" x14ac:dyDescent="0.25">
      <c r="G190">
        <v>95</v>
      </c>
      <c r="H190" s="52">
        <v>9194.77</v>
      </c>
      <c r="I190" s="52">
        <v>16843.77</v>
      </c>
      <c r="J190" s="52">
        <v>26038.54</v>
      </c>
      <c r="K190" s="52">
        <v>1033987.25</v>
      </c>
    </row>
    <row r="191" spans="7:11" x14ac:dyDescent="0.25">
      <c r="G191">
        <v>96</v>
      </c>
      <c r="H191" s="52">
        <v>9047.39</v>
      </c>
      <c r="I191" s="52">
        <v>16991.150000000001</v>
      </c>
      <c r="J191" s="52">
        <v>26038.54</v>
      </c>
      <c r="K191" s="52">
        <v>1016996.1</v>
      </c>
    </row>
    <row r="192" spans="7:11" x14ac:dyDescent="0.25">
      <c r="G192">
        <v>97</v>
      </c>
      <c r="H192" s="52">
        <v>8898.7199999999993</v>
      </c>
      <c r="I192" s="52">
        <v>17139.82</v>
      </c>
      <c r="J192" s="52">
        <v>26038.54</v>
      </c>
      <c r="K192" s="52">
        <v>999856.28</v>
      </c>
    </row>
    <row r="193" spans="7:11" x14ac:dyDescent="0.25">
      <c r="G193">
        <v>98</v>
      </c>
      <c r="H193" s="52">
        <v>8748.74</v>
      </c>
      <c r="I193" s="52">
        <v>17289.79</v>
      </c>
      <c r="J193" s="52">
        <v>26038.54</v>
      </c>
      <c r="K193" s="52">
        <v>982566.48</v>
      </c>
    </row>
    <row r="194" spans="7:11" x14ac:dyDescent="0.25">
      <c r="G194">
        <v>99</v>
      </c>
      <c r="H194" s="52">
        <v>8597.4599999999991</v>
      </c>
      <c r="I194" s="52">
        <v>17441.080000000002</v>
      </c>
      <c r="J194" s="52">
        <v>26038.54</v>
      </c>
      <c r="K194" s="52">
        <v>965125.4</v>
      </c>
    </row>
    <row r="195" spans="7:11" x14ac:dyDescent="0.25">
      <c r="G195">
        <v>100</v>
      </c>
      <c r="H195" s="52">
        <v>8444.85</v>
      </c>
      <c r="I195" s="52">
        <v>17593.689999999999</v>
      </c>
      <c r="J195" s="52">
        <v>26038.54</v>
      </c>
      <c r="K195" s="52">
        <v>947531.71</v>
      </c>
    </row>
    <row r="196" spans="7:11" x14ac:dyDescent="0.25">
      <c r="G196">
        <v>101</v>
      </c>
      <c r="H196" s="52">
        <v>8290.9</v>
      </c>
      <c r="I196" s="52">
        <v>17747.63</v>
      </c>
      <c r="J196" s="52">
        <v>26038.54</v>
      </c>
      <c r="K196" s="52">
        <v>929784.08</v>
      </c>
    </row>
    <row r="197" spans="7:11" x14ac:dyDescent="0.25">
      <c r="G197">
        <v>102</v>
      </c>
      <c r="H197" s="52">
        <v>8135.61</v>
      </c>
      <c r="I197" s="52">
        <v>17902.93</v>
      </c>
      <c r="J197" s="52">
        <v>26038.54</v>
      </c>
      <c r="K197" s="52">
        <v>911881.15</v>
      </c>
    </row>
    <row r="198" spans="7:11" x14ac:dyDescent="0.25">
      <c r="G198">
        <v>103</v>
      </c>
      <c r="H198" s="52">
        <v>7978.96</v>
      </c>
      <c r="I198" s="52">
        <v>18059.580000000002</v>
      </c>
      <c r="J198" s="52">
        <v>26038.54</v>
      </c>
      <c r="K198" s="52">
        <v>893821.57</v>
      </c>
    </row>
    <row r="199" spans="7:11" x14ac:dyDescent="0.25">
      <c r="G199">
        <v>104</v>
      </c>
      <c r="H199" s="52">
        <v>7820.94</v>
      </c>
      <c r="I199" s="52">
        <v>18217.599999999999</v>
      </c>
      <c r="J199" s="52">
        <v>26038.54</v>
      </c>
      <c r="K199" s="52">
        <v>875603.98</v>
      </c>
    </row>
    <row r="200" spans="7:11" x14ac:dyDescent="0.25">
      <c r="G200">
        <v>105</v>
      </c>
      <c r="H200" s="52">
        <v>7661.53</v>
      </c>
      <c r="I200" s="52">
        <v>18377</v>
      </c>
      <c r="J200" s="52">
        <v>26038.54</v>
      </c>
      <c r="K200" s="52">
        <v>857226.97</v>
      </c>
    </row>
    <row r="201" spans="7:11" x14ac:dyDescent="0.25">
      <c r="G201">
        <v>106</v>
      </c>
      <c r="H201" s="52">
        <v>7500.74</v>
      </c>
      <c r="I201" s="52">
        <v>18537.8</v>
      </c>
      <c r="J201" s="52">
        <v>26038.54</v>
      </c>
      <c r="K201" s="52">
        <v>838689.17</v>
      </c>
    </row>
    <row r="202" spans="7:11" x14ac:dyDescent="0.25">
      <c r="G202">
        <v>107</v>
      </c>
      <c r="H202" s="52">
        <v>7338.53</v>
      </c>
      <c r="I202" s="52">
        <v>18700.009999999998</v>
      </c>
      <c r="J202" s="52">
        <v>26038.54</v>
      </c>
      <c r="K202" s="52">
        <v>819989.16</v>
      </c>
    </row>
    <row r="203" spans="7:11" x14ac:dyDescent="0.25">
      <c r="G203">
        <v>108</v>
      </c>
      <c r="H203" s="52">
        <v>7174.91</v>
      </c>
      <c r="I203" s="52">
        <v>18863.63</v>
      </c>
      <c r="J203" s="52">
        <v>26038.54</v>
      </c>
      <c r="K203" s="52">
        <v>801125.53</v>
      </c>
    </row>
    <row r="204" spans="7:11" x14ac:dyDescent="0.25">
      <c r="G204">
        <v>109</v>
      </c>
      <c r="H204" s="52">
        <v>7009.85</v>
      </c>
      <c r="I204" s="52">
        <v>19028.689999999999</v>
      </c>
      <c r="J204" s="52">
        <v>26038.54</v>
      </c>
      <c r="K204" s="52">
        <v>782096.84</v>
      </c>
    </row>
    <row r="205" spans="7:11" x14ac:dyDescent="0.25">
      <c r="G205">
        <v>110</v>
      </c>
      <c r="H205" s="52">
        <v>6843.35</v>
      </c>
      <c r="I205" s="52">
        <v>19195.189999999999</v>
      </c>
      <c r="J205" s="52">
        <v>26038.54</v>
      </c>
      <c r="K205" s="52">
        <v>762901.65</v>
      </c>
    </row>
    <row r="206" spans="7:11" x14ac:dyDescent="0.25">
      <c r="G206">
        <v>111</v>
      </c>
      <c r="H206" s="52">
        <v>6675.39</v>
      </c>
      <c r="I206" s="52">
        <v>19363.150000000001</v>
      </c>
      <c r="J206" s="52">
        <v>26038.54</v>
      </c>
      <c r="K206" s="52">
        <v>743538.51</v>
      </c>
    </row>
    <row r="207" spans="7:11" x14ac:dyDescent="0.25">
      <c r="G207">
        <v>112</v>
      </c>
      <c r="H207" s="52">
        <v>6505.96</v>
      </c>
      <c r="I207" s="52">
        <v>19532.580000000002</v>
      </c>
      <c r="J207" s="52">
        <v>26038.54</v>
      </c>
      <c r="K207" s="52">
        <v>724005.93</v>
      </c>
    </row>
    <row r="208" spans="7:11" x14ac:dyDescent="0.25">
      <c r="G208">
        <v>113</v>
      </c>
      <c r="H208" s="52">
        <v>6335.05</v>
      </c>
      <c r="I208" s="52">
        <v>19703.490000000002</v>
      </c>
      <c r="J208" s="52">
        <v>26038.54</v>
      </c>
      <c r="K208" s="52">
        <v>704302.44</v>
      </c>
    </row>
    <row r="209" spans="7:11" x14ac:dyDescent="0.25">
      <c r="G209">
        <v>114</v>
      </c>
      <c r="H209" s="52">
        <v>6162.65</v>
      </c>
      <c r="I209" s="52">
        <v>19875.89</v>
      </c>
      <c r="J209" s="52">
        <v>26038.54</v>
      </c>
      <c r="K209" s="52">
        <v>684426.55</v>
      </c>
    </row>
    <row r="210" spans="7:11" x14ac:dyDescent="0.25">
      <c r="G210">
        <v>115</v>
      </c>
      <c r="H210" s="52">
        <v>5988.73</v>
      </c>
      <c r="I210" s="52">
        <v>20049.810000000001</v>
      </c>
      <c r="J210" s="52">
        <v>26038.54</v>
      </c>
      <c r="K210" s="52">
        <v>664376.75</v>
      </c>
    </row>
    <row r="211" spans="7:11" x14ac:dyDescent="0.25">
      <c r="G211">
        <v>116</v>
      </c>
      <c r="H211" s="52">
        <v>5813.3</v>
      </c>
      <c r="I211" s="52">
        <v>20225.240000000002</v>
      </c>
      <c r="J211" s="52">
        <v>26038.54</v>
      </c>
      <c r="K211" s="52">
        <v>644151.51</v>
      </c>
    </row>
    <row r="212" spans="7:11" x14ac:dyDescent="0.25">
      <c r="G212">
        <v>117</v>
      </c>
      <c r="H212" s="52">
        <v>5636.33</v>
      </c>
      <c r="I212" s="52">
        <v>20402.21</v>
      </c>
      <c r="J212" s="52">
        <v>26038.54</v>
      </c>
      <c r="K212" s="52">
        <v>623749.30000000005</v>
      </c>
    </row>
    <row r="213" spans="7:11" x14ac:dyDescent="0.25">
      <c r="G213">
        <v>118</v>
      </c>
      <c r="H213" s="52">
        <v>5457.81</v>
      </c>
      <c r="I213" s="52">
        <v>20580.73</v>
      </c>
      <c r="J213" s="52">
        <v>26038.54</v>
      </c>
      <c r="K213" s="52">
        <v>603168.56999999995</v>
      </c>
    </row>
    <row r="214" spans="7:11" x14ac:dyDescent="0.25">
      <c r="G214">
        <v>119</v>
      </c>
      <c r="H214" s="52">
        <v>5277.72</v>
      </c>
      <c r="I214" s="52">
        <v>20760.810000000001</v>
      </c>
      <c r="J214" s="52">
        <v>26038.54</v>
      </c>
      <c r="K214" s="52">
        <v>582407.75</v>
      </c>
    </row>
    <row r="215" spans="7:11" x14ac:dyDescent="0.25">
      <c r="G215">
        <v>120</v>
      </c>
      <c r="H215" s="52">
        <v>5096.07</v>
      </c>
      <c r="I215" s="52">
        <v>20942.47</v>
      </c>
      <c r="J215" s="52">
        <v>26038.54</v>
      </c>
      <c r="K215" s="52">
        <v>561465.28</v>
      </c>
    </row>
    <row r="216" spans="7:11" x14ac:dyDescent="0.25">
      <c r="G216">
        <v>121</v>
      </c>
      <c r="H216" s="52">
        <v>4912.82</v>
      </c>
      <c r="I216" s="52">
        <v>21125.72</v>
      </c>
      <c r="J216" s="52">
        <v>26038.54</v>
      </c>
      <c r="K216" s="52">
        <v>540339.56999999995</v>
      </c>
    </row>
    <row r="217" spans="7:11" x14ac:dyDescent="0.25">
      <c r="G217">
        <v>122</v>
      </c>
      <c r="H217" s="52">
        <v>4727.97</v>
      </c>
      <c r="I217" s="52">
        <v>21310.57</v>
      </c>
      <c r="J217" s="52">
        <v>26038.54</v>
      </c>
      <c r="K217" s="52">
        <v>519029</v>
      </c>
    </row>
    <row r="218" spans="7:11" x14ac:dyDescent="0.25">
      <c r="G218">
        <v>123</v>
      </c>
      <c r="H218" s="52">
        <v>4541.5</v>
      </c>
      <c r="I218" s="52">
        <v>21497.03</v>
      </c>
      <c r="J218" s="52">
        <v>26038.54</v>
      </c>
      <c r="K218" s="52">
        <v>497531.97</v>
      </c>
    </row>
    <row r="219" spans="7:11" x14ac:dyDescent="0.25">
      <c r="G219">
        <v>124</v>
      </c>
      <c r="H219" s="52">
        <v>4353.3999999999996</v>
      </c>
      <c r="I219" s="52">
        <v>21685.13</v>
      </c>
      <c r="J219" s="52">
        <v>26038.54</v>
      </c>
      <c r="K219" s="52">
        <v>475846.83</v>
      </c>
    </row>
    <row r="220" spans="7:11" x14ac:dyDescent="0.25">
      <c r="G220">
        <v>125</v>
      </c>
      <c r="H220" s="52">
        <v>4163.66</v>
      </c>
      <c r="I220" s="52">
        <v>21874.880000000001</v>
      </c>
      <c r="J220" s="52">
        <v>26038.54</v>
      </c>
      <c r="K220" s="52">
        <v>453971.96</v>
      </c>
    </row>
    <row r="221" spans="7:11" x14ac:dyDescent="0.25">
      <c r="G221">
        <v>126</v>
      </c>
      <c r="H221" s="52">
        <v>3972.25</v>
      </c>
      <c r="I221" s="52">
        <v>22066.28</v>
      </c>
      <c r="J221" s="52">
        <v>26038.54</v>
      </c>
      <c r="K221" s="52">
        <v>431905.67</v>
      </c>
    </row>
    <row r="222" spans="7:11" x14ac:dyDescent="0.25">
      <c r="G222">
        <v>127</v>
      </c>
      <c r="H222" s="52">
        <v>3779.17</v>
      </c>
      <c r="I222" s="52">
        <v>22259.360000000001</v>
      </c>
      <c r="J222" s="52">
        <v>26038.54</v>
      </c>
      <c r="K222" s="52">
        <v>409646.31</v>
      </c>
    </row>
    <row r="223" spans="7:11" x14ac:dyDescent="0.25">
      <c r="G223">
        <v>128</v>
      </c>
      <c r="H223" s="52">
        <v>3584.41</v>
      </c>
      <c r="I223" s="52">
        <v>22454.13</v>
      </c>
      <c r="J223" s="52">
        <v>26038.54</v>
      </c>
      <c r="K223" s="52">
        <v>387192.18</v>
      </c>
    </row>
    <row r="224" spans="7:11" x14ac:dyDescent="0.25">
      <c r="G224">
        <v>129</v>
      </c>
      <c r="H224" s="52">
        <v>3387.93</v>
      </c>
      <c r="I224" s="52">
        <v>22650.61</v>
      </c>
      <c r="J224" s="52">
        <v>26038.54</v>
      </c>
      <c r="K224" s="52">
        <v>364541.57</v>
      </c>
    </row>
    <row r="225" spans="7:11" x14ac:dyDescent="0.25">
      <c r="G225">
        <v>130</v>
      </c>
      <c r="H225" s="52">
        <v>3189.74</v>
      </c>
      <c r="I225" s="52">
        <v>22848.799999999999</v>
      </c>
      <c r="J225" s="52">
        <v>26038.54</v>
      </c>
      <c r="K225" s="52">
        <v>341692.78</v>
      </c>
    </row>
    <row r="226" spans="7:11" x14ac:dyDescent="0.25">
      <c r="G226">
        <v>131</v>
      </c>
      <c r="H226" s="52">
        <v>2989.81</v>
      </c>
      <c r="I226" s="52">
        <v>23048.73</v>
      </c>
      <c r="J226" s="52">
        <v>26038.54</v>
      </c>
      <c r="K226" s="52">
        <v>318644.05</v>
      </c>
    </row>
    <row r="227" spans="7:11" x14ac:dyDescent="0.25">
      <c r="G227">
        <v>132</v>
      </c>
      <c r="H227" s="52">
        <v>2788.14</v>
      </c>
      <c r="I227" s="52">
        <v>23250.400000000001</v>
      </c>
      <c r="J227" s="52">
        <v>26038.54</v>
      </c>
      <c r="K227" s="52">
        <v>295393.65000000002</v>
      </c>
    </row>
    <row r="228" spans="7:11" x14ac:dyDescent="0.25">
      <c r="G228">
        <v>133</v>
      </c>
      <c r="H228" s="52">
        <v>2584.69</v>
      </c>
      <c r="I228" s="52">
        <v>23453.84</v>
      </c>
      <c r="J228" s="52">
        <v>26038.54</v>
      </c>
      <c r="K228" s="52">
        <v>271939.8</v>
      </c>
    </row>
    <row r="229" spans="7:11" x14ac:dyDescent="0.25">
      <c r="G229">
        <v>134</v>
      </c>
      <c r="H229" s="52">
        <v>2379.4699999999998</v>
      </c>
      <c r="I229" s="52">
        <v>23659.06</v>
      </c>
      <c r="J229" s="52">
        <v>26038.54</v>
      </c>
      <c r="K229" s="52">
        <v>248280.74</v>
      </c>
    </row>
    <row r="230" spans="7:11" x14ac:dyDescent="0.25">
      <c r="G230">
        <v>135</v>
      </c>
      <c r="H230" s="52">
        <v>2172.46</v>
      </c>
      <c r="I230" s="52">
        <v>23866.080000000002</v>
      </c>
      <c r="J230" s="52">
        <v>26038.54</v>
      </c>
      <c r="K230" s="52">
        <v>224414.66</v>
      </c>
    </row>
    <row r="231" spans="7:11" x14ac:dyDescent="0.25">
      <c r="G231">
        <v>136</v>
      </c>
      <c r="H231" s="52">
        <v>1963.63</v>
      </c>
      <c r="I231" s="52">
        <v>24074.91</v>
      </c>
      <c r="J231" s="52">
        <v>26038.54</v>
      </c>
      <c r="K231" s="52">
        <v>200339.75</v>
      </c>
    </row>
    <row r="232" spans="7:11" x14ac:dyDescent="0.25">
      <c r="G232">
        <v>137</v>
      </c>
      <c r="H232" s="52">
        <v>1752.97</v>
      </c>
      <c r="I232" s="52">
        <v>24285.56</v>
      </c>
      <c r="J232" s="52">
        <v>26038.54</v>
      </c>
      <c r="K232" s="52">
        <v>176054.19</v>
      </c>
    </row>
    <row r="233" spans="7:11" x14ac:dyDescent="0.25">
      <c r="G233">
        <v>138</v>
      </c>
      <c r="H233" s="52">
        <v>1540.47</v>
      </c>
      <c r="I233" s="52">
        <v>24498.06</v>
      </c>
      <c r="J233" s="52">
        <v>26038.54</v>
      </c>
      <c r="K233" s="52">
        <v>151556.12</v>
      </c>
    </row>
    <row r="234" spans="7:11" x14ac:dyDescent="0.25">
      <c r="G234">
        <v>139</v>
      </c>
      <c r="H234" s="52">
        <v>1326.12</v>
      </c>
      <c r="I234" s="52">
        <v>24712.42</v>
      </c>
      <c r="J234" s="52">
        <v>26038.54</v>
      </c>
      <c r="K234" s="52">
        <v>126843.7</v>
      </c>
    </row>
    <row r="235" spans="7:11" x14ac:dyDescent="0.25">
      <c r="G235">
        <v>140</v>
      </c>
      <c r="H235" s="52">
        <v>1109.8800000000001</v>
      </c>
      <c r="I235" s="52">
        <v>24928.65</v>
      </c>
      <c r="J235" s="52">
        <v>26038.54</v>
      </c>
      <c r="K235" s="52">
        <v>101915.05</v>
      </c>
    </row>
    <row r="236" spans="7:11" x14ac:dyDescent="0.25">
      <c r="G236">
        <v>141</v>
      </c>
      <c r="H236" s="52">
        <v>891.76</v>
      </c>
      <c r="I236" s="52">
        <v>25146.78</v>
      </c>
      <c r="J236" s="52">
        <v>26038.54</v>
      </c>
      <c r="K236" s="52">
        <v>76768.27</v>
      </c>
    </row>
    <row r="237" spans="7:11" x14ac:dyDescent="0.25">
      <c r="G237">
        <v>142</v>
      </c>
      <c r="H237" s="52">
        <v>671.72</v>
      </c>
      <c r="I237" s="52">
        <v>25366.82</v>
      </c>
      <c r="J237" s="52">
        <v>26038.54</v>
      </c>
      <c r="K237" s="52">
        <v>51401.45</v>
      </c>
    </row>
    <row r="238" spans="7:11" x14ac:dyDescent="0.25">
      <c r="G238">
        <v>143</v>
      </c>
      <c r="H238" s="52">
        <v>449.76</v>
      </c>
      <c r="I238" s="52">
        <v>25588.77</v>
      </c>
      <c r="J238" s="52">
        <v>26038.54</v>
      </c>
      <c r="K238" s="52">
        <v>25812.68</v>
      </c>
    </row>
    <row r="239" spans="7:11" x14ac:dyDescent="0.25">
      <c r="G239">
        <v>144</v>
      </c>
      <c r="H239" s="52">
        <v>225.86</v>
      </c>
      <c r="I239" s="52">
        <v>25812.68</v>
      </c>
      <c r="J239" s="52">
        <v>26038.54</v>
      </c>
      <c r="K239" s="52">
        <v>0</v>
      </c>
    </row>
    <row r="240" spans="7:11" x14ac:dyDescent="0.25">
      <c r="G240" t="s">
        <v>251</v>
      </c>
      <c r="H240" s="52">
        <f>SUM(H95:H239)</f>
        <v>1622462.3699999994</v>
      </c>
      <c r="I240" s="52">
        <f>SUM(I95:I239)</f>
        <v>2127087.0299999998</v>
      </c>
      <c r="J240" s="52">
        <f>SUM(J95:J239)</f>
        <v>5876636.7600000054</v>
      </c>
      <c r="K240" s="52"/>
    </row>
    <row r="241" spans="9:9" x14ac:dyDescent="0.25">
      <c r="I241" s="69"/>
    </row>
  </sheetData>
  <mergeCells count="1">
    <mergeCell ref="C41:E41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33"/>
  <sheetViews>
    <sheetView showGridLines="0" zoomScale="85" zoomScaleNormal="85" workbookViewId="0">
      <selection activeCell="Z19" sqref="Z19"/>
    </sheetView>
  </sheetViews>
  <sheetFormatPr defaultRowHeight="15" x14ac:dyDescent="0.25"/>
  <cols>
    <col min="4" max="4" width="10.42578125" customWidth="1"/>
    <col min="5" max="5" width="0" hidden="1" customWidth="1"/>
    <col min="6" max="11" width="10.5703125" bestFit="1" customWidth="1"/>
    <col min="19" max="19" width="9.140625" customWidth="1"/>
    <col min="20" max="43" width="7.7109375" style="50" customWidth="1"/>
    <col min="44" max="44" width="12" style="116" bestFit="1" customWidth="1"/>
  </cols>
  <sheetData>
    <row r="2" spans="2:44" x14ac:dyDescent="0.25">
      <c r="B2" s="109" t="s">
        <v>261</v>
      </c>
    </row>
    <row r="3" spans="2:44" ht="15.75" x14ac:dyDescent="0.25">
      <c r="B3" s="109"/>
      <c r="T3" s="264" t="s">
        <v>265</v>
      </c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3" t="s">
        <v>266</v>
      </c>
    </row>
    <row r="4" spans="2:44" ht="15.75" x14ac:dyDescent="0.25">
      <c r="B4" s="265" t="s">
        <v>105</v>
      </c>
      <c r="C4" s="265" t="s">
        <v>106</v>
      </c>
      <c r="D4" s="265" t="s">
        <v>260</v>
      </c>
      <c r="E4" s="265"/>
      <c r="F4" s="265" t="s">
        <v>257</v>
      </c>
      <c r="G4" s="265"/>
      <c r="H4" s="265" t="s">
        <v>258</v>
      </c>
      <c r="I4" s="265"/>
      <c r="J4" s="265" t="s">
        <v>259</v>
      </c>
      <c r="K4" s="265"/>
      <c r="M4" s="251" t="s">
        <v>263</v>
      </c>
      <c r="N4" s="251"/>
      <c r="P4" s="251" t="s">
        <v>264</v>
      </c>
      <c r="Q4" s="251"/>
      <c r="T4" s="238">
        <v>0</v>
      </c>
      <c r="U4" s="239">
        <f>T4+1</f>
        <v>1</v>
      </c>
      <c r="V4" s="239">
        <f t="shared" ref="V4:AQ4" si="0">U4+1</f>
        <v>2</v>
      </c>
      <c r="W4" s="239">
        <f t="shared" si="0"/>
        <v>3</v>
      </c>
      <c r="X4" s="239">
        <f t="shared" si="0"/>
        <v>4</v>
      </c>
      <c r="Y4" s="239">
        <f t="shared" si="0"/>
        <v>5</v>
      </c>
      <c r="Z4" s="239">
        <f t="shared" si="0"/>
        <v>6</v>
      </c>
      <c r="AA4" s="239">
        <f t="shared" si="0"/>
        <v>7</v>
      </c>
      <c r="AB4" s="239">
        <f t="shared" si="0"/>
        <v>8</v>
      </c>
      <c r="AC4" s="239">
        <f t="shared" si="0"/>
        <v>9</v>
      </c>
      <c r="AD4" s="239">
        <f t="shared" si="0"/>
        <v>10</v>
      </c>
      <c r="AE4" s="239">
        <f t="shared" si="0"/>
        <v>11</v>
      </c>
      <c r="AF4" s="239">
        <f t="shared" si="0"/>
        <v>12</v>
      </c>
      <c r="AG4" s="239">
        <f t="shared" si="0"/>
        <v>13</v>
      </c>
      <c r="AH4" s="239">
        <f t="shared" si="0"/>
        <v>14</v>
      </c>
      <c r="AI4" s="239">
        <f t="shared" si="0"/>
        <v>15</v>
      </c>
      <c r="AJ4" s="239">
        <f t="shared" si="0"/>
        <v>16</v>
      </c>
      <c r="AK4" s="239">
        <f t="shared" si="0"/>
        <v>17</v>
      </c>
      <c r="AL4" s="239">
        <f t="shared" si="0"/>
        <v>18</v>
      </c>
      <c r="AM4" s="239">
        <f t="shared" si="0"/>
        <v>19</v>
      </c>
      <c r="AN4" s="239">
        <f t="shared" si="0"/>
        <v>20</v>
      </c>
      <c r="AO4" s="239">
        <f>AN4+1</f>
        <v>21</v>
      </c>
      <c r="AP4" s="239">
        <f t="shared" si="0"/>
        <v>22</v>
      </c>
      <c r="AQ4" s="239">
        <f t="shared" si="0"/>
        <v>23</v>
      </c>
      <c r="AR4" s="263"/>
    </row>
    <row r="5" spans="2:44" x14ac:dyDescent="0.25">
      <c r="B5" s="265"/>
      <c r="C5" s="265"/>
      <c r="D5" s="120" t="s">
        <v>84</v>
      </c>
      <c r="E5" s="120" t="s">
        <v>254</v>
      </c>
      <c r="F5" s="120" t="s">
        <v>255</v>
      </c>
      <c r="G5" s="120" t="s">
        <v>256</v>
      </c>
      <c r="H5" s="120" t="s">
        <v>255</v>
      </c>
      <c r="I5" s="120" t="s">
        <v>256</v>
      </c>
      <c r="J5" s="120" t="s">
        <v>255</v>
      </c>
      <c r="K5" s="120" t="s">
        <v>256</v>
      </c>
      <c r="M5" s="125" t="s">
        <v>255</v>
      </c>
      <c r="N5" s="125" t="s">
        <v>256</v>
      </c>
      <c r="P5" s="125" t="s">
        <v>255</v>
      </c>
      <c r="Q5" s="125" t="s">
        <v>256</v>
      </c>
      <c r="T5" s="126">
        <v>0</v>
      </c>
      <c r="U5" s="126">
        <v>0</v>
      </c>
      <c r="V5" s="117">
        <v>1</v>
      </c>
      <c r="W5" s="117">
        <v>1</v>
      </c>
      <c r="X5" s="117">
        <v>1</v>
      </c>
      <c r="Y5" s="117">
        <v>1</v>
      </c>
      <c r="Z5" s="117">
        <v>1</v>
      </c>
      <c r="AA5" s="117">
        <v>1</v>
      </c>
      <c r="AB5" s="117">
        <v>1</v>
      </c>
      <c r="AC5" s="117">
        <v>1</v>
      </c>
      <c r="AD5" s="117">
        <v>1</v>
      </c>
      <c r="AE5" s="117">
        <v>1</v>
      </c>
      <c r="AF5" s="126">
        <v>0</v>
      </c>
      <c r="AG5" s="126">
        <v>0</v>
      </c>
      <c r="AH5" s="117">
        <v>1</v>
      </c>
      <c r="AI5" s="117">
        <v>1</v>
      </c>
      <c r="AJ5" s="117">
        <v>1</v>
      </c>
      <c r="AK5" s="117">
        <v>1</v>
      </c>
      <c r="AL5" s="117">
        <v>1</v>
      </c>
      <c r="AM5" s="117">
        <v>1</v>
      </c>
      <c r="AN5" s="117">
        <v>1</v>
      </c>
      <c r="AO5" s="117">
        <v>1</v>
      </c>
      <c r="AP5" s="117">
        <v>1</v>
      </c>
      <c r="AQ5" s="117">
        <v>1</v>
      </c>
      <c r="AR5" s="127">
        <f>SUM(T5:AQ5)</f>
        <v>20</v>
      </c>
    </row>
    <row r="6" spans="2:44" x14ac:dyDescent="0.25">
      <c r="B6" s="34" t="s">
        <v>100</v>
      </c>
      <c r="C6" s="34" t="s">
        <v>101</v>
      </c>
      <c r="D6" s="124">
        <v>2.62</v>
      </c>
      <c r="E6" s="124">
        <v>4</v>
      </c>
      <c r="F6" s="121">
        <v>229284</v>
      </c>
      <c r="G6" s="121">
        <v>346365</v>
      </c>
      <c r="H6" s="122">
        <v>262400</v>
      </c>
      <c r="I6" s="122">
        <v>431155</v>
      </c>
      <c r="J6" s="123">
        <v>210797</v>
      </c>
      <c r="K6" s="123">
        <v>346365</v>
      </c>
      <c r="L6" s="20"/>
      <c r="M6" s="67">
        <f>(F6-H6)/F6</f>
        <v>-0.14443223251513407</v>
      </c>
      <c r="N6" s="67">
        <f>(G6-I6)/G6</f>
        <v>-0.24479956115658338</v>
      </c>
      <c r="P6" s="67">
        <f>(F6-J6)/F6</f>
        <v>8.0629263271750323E-2</v>
      </c>
      <c r="Q6" s="67">
        <f>(G6-K6)/G6</f>
        <v>0</v>
      </c>
      <c r="T6" s="117">
        <v>1</v>
      </c>
      <c r="U6" s="126">
        <v>0</v>
      </c>
      <c r="V6" s="126">
        <v>0</v>
      </c>
      <c r="W6" s="117">
        <v>1</v>
      </c>
      <c r="X6" s="117">
        <v>1</v>
      </c>
      <c r="Y6" s="117">
        <v>1</v>
      </c>
      <c r="Z6" s="117">
        <v>1</v>
      </c>
      <c r="AA6" s="117">
        <v>1</v>
      </c>
      <c r="AB6" s="117">
        <v>1</v>
      </c>
      <c r="AC6" s="117">
        <v>1</v>
      </c>
      <c r="AD6" s="117">
        <v>1</v>
      </c>
      <c r="AE6" s="117">
        <v>1</v>
      </c>
      <c r="AF6" s="117">
        <v>1</v>
      </c>
      <c r="AG6" s="126">
        <v>0</v>
      </c>
      <c r="AH6" s="126">
        <v>0</v>
      </c>
      <c r="AI6" s="117">
        <v>1</v>
      </c>
      <c r="AJ6" s="117">
        <v>1</v>
      </c>
      <c r="AK6" s="117">
        <v>1</v>
      </c>
      <c r="AL6" s="117">
        <v>1</v>
      </c>
      <c r="AM6" s="117">
        <v>1</v>
      </c>
      <c r="AN6" s="117">
        <v>1</v>
      </c>
      <c r="AO6" s="117">
        <v>1</v>
      </c>
      <c r="AP6" s="117">
        <v>1</v>
      </c>
      <c r="AQ6" s="117">
        <v>1</v>
      </c>
      <c r="AR6" s="127">
        <f t="shared" ref="AR6:AR25" si="1">SUM(T6:AQ6)</f>
        <v>20</v>
      </c>
    </row>
    <row r="7" spans="2:44" x14ac:dyDescent="0.25">
      <c r="B7" s="34" t="s">
        <v>100</v>
      </c>
      <c r="C7" s="34" t="s">
        <v>102</v>
      </c>
      <c r="D7" s="124">
        <v>3.2</v>
      </c>
      <c r="E7" s="124">
        <v>7</v>
      </c>
      <c r="F7" s="121">
        <v>492782</v>
      </c>
      <c r="G7" s="121">
        <v>741615</v>
      </c>
      <c r="H7" s="122">
        <v>558108</v>
      </c>
      <c r="I7" s="122">
        <v>981749</v>
      </c>
      <c r="J7" s="123">
        <v>421596</v>
      </c>
      <c r="K7" s="123">
        <v>741615</v>
      </c>
      <c r="L7" s="20"/>
      <c r="M7" s="67">
        <f t="shared" ref="M7:M15" si="2">(F7-H7)/F7</f>
        <v>-0.13256571871537515</v>
      </c>
      <c r="N7" s="67">
        <f t="shared" ref="N7:N15" si="3">(G7-I7)/G7</f>
        <v>-0.32379873654119723</v>
      </c>
      <c r="P7" s="67">
        <f t="shared" ref="P7:P15" si="4">(F7-J7)/F7</f>
        <v>0.14445738683636983</v>
      </c>
      <c r="Q7" s="67">
        <f t="shared" ref="Q7:Q15" si="5">(G7-K7)/G7</f>
        <v>0</v>
      </c>
      <c r="T7" s="117">
        <v>1</v>
      </c>
      <c r="U7" s="117">
        <v>1</v>
      </c>
      <c r="V7" s="126">
        <v>0</v>
      </c>
      <c r="W7" s="126">
        <v>0</v>
      </c>
      <c r="X7" s="117">
        <v>1</v>
      </c>
      <c r="Y7" s="117">
        <v>1</v>
      </c>
      <c r="Z7" s="117">
        <v>1</v>
      </c>
      <c r="AA7" s="117">
        <v>1</v>
      </c>
      <c r="AB7" s="117">
        <v>1</v>
      </c>
      <c r="AC7" s="117">
        <v>1</v>
      </c>
      <c r="AD7" s="117">
        <v>1</v>
      </c>
      <c r="AE7" s="117">
        <v>1</v>
      </c>
      <c r="AF7" s="117">
        <v>1</v>
      </c>
      <c r="AG7" s="117">
        <v>1</v>
      </c>
      <c r="AH7" s="126">
        <v>0</v>
      </c>
      <c r="AI7" s="126">
        <v>0</v>
      </c>
      <c r="AJ7" s="117">
        <v>1</v>
      </c>
      <c r="AK7" s="117">
        <v>1</v>
      </c>
      <c r="AL7" s="117">
        <v>1</v>
      </c>
      <c r="AM7" s="117">
        <v>1</v>
      </c>
      <c r="AN7" s="117">
        <v>1</v>
      </c>
      <c r="AO7" s="117">
        <v>1</v>
      </c>
      <c r="AP7" s="117">
        <v>1</v>
      </c>
      <c r="AQ7" s="117">
        <v>1</v>
      </c>
      <c r="AR7" s="127">
        <f t="shared" si="1"/>
        <v>20</v>
      </c>
    </row>
    <row r="8" spans="2:44" x14ac:dyDescent="0.25">
      <c r="B8" s="34" t="s">
        <v>100</v>
      </c>
      <c r="C8" s="34" t="s">
        <v>103</v>
      </c>
      <c r="D8" s="124">
        <v>7.89</v>
      </c>
      <c r="E8" s="124">
        <v>10.7</v>
      </c>
      <c r="F8" s="121">
        <v>914372</v>
      </c>
      <c r="G8" s="121">
        <v>1374001</v>
      </c>
      <c r="H8" s="122">
        <v>1156210</v>
      </c>
      <c r="I8" s="122">
        <v>2093428</v>
      </c>
      <c r="J8" s="123">
        <v>758867</v>
      </c>
      <c r="K8" s="123">
        <v>1374001</v>
      </c>
      <c r="L8" s="20"/>
      <c r="M8" s="67">
        <f t="shared" si="2"/>
        <v>-0.26448535169493381</v>
      </c>
      <c r="N8" s="67">
        <f t="shared" si="3"/>
        <v>-0.52360005560403522</v>
      </c>
      <c r="P8" s="67">
        <f t="shared" si="4"/>
        <v>0.17006754362557033</v>
      </c>
      <c r="Q8" s="67">
        <f t="shared" si="5"/>
        <v>0</v>
      </c>
      <c r="T8" s="117">
        <v>1</v>
      </c>
      <c r="U8" s="117">
        <v>1</v>
      </c>
      <c r="V8" s="117">
        <v>1</v>
      </c>
      <c r="W8" s="126">
        <v>0</v>
      </c>
      <c r="X8" s="126">
        <v>0</v>
      </c>
      <c r="Y8" s="117">
        <v>1</v>
      </c>
      <c r="Z8" s="117">
        <v>1</v>
      </c>
      <c r="AA8" s="117">
        <v>1</v>
      </c>
      <c r="AB8" s="117">
        <v>1</v>
      </c>
      <c r="AC8" s="117">
        <v>1</v>
      </c>
      <c r="AD8" s="117">
        <v>1</v>
      </c>
      <c r="AE8" s="117">
        <v>1</v>
      </c>
      <c r="AF8" s="117">
        <v>1</v>
      </c>
      <c r="AG8" s="117">
        <v>1</v>
      </c>
      <c r="AH8" s="117">
        <v>1</v>
      </c>
      <c r="AI8" s="126">
        <v>0</v>
      </c>
      <c r="AJ8" s="126">
        <v>0</v>
      </c>
      <c r="AK8" s="117">
        <v>1</v>
      </c>
      <c r="AL8" s="117">
        <v>1</v>
      </c>
      <c r="AM8" s="117">
        <v>1</v>
      </c>
      <c r="AN8" s="117">
        <v>1</v>
      </c>
      <c r="AO8" s="117">
        <v>1</v>
      </c>
      <c r="AP8" s="117">
        <v>1</v>
      </c>
      <c r="AQ8" s="117">
        <v>1</v>
      </c>
      <c r="AR8" s="127">
        <f t="shared" si="1"/>
        <v>20</v>
      </c>
    </row>
    <row r="9" spans="2:44" x14ac:dyDescent="0.25">
      <c r="B9" s="34" t="s">
        <v>100</v>
      </c>
      <c r="C9" s="34" t="s">
        <v>104</v>
      </c>
      <c r="D9" s="124">
        <v>10.61</v>
      </c>
      <c r="E9" s="124">
        <v>15.5</v>
      </c>
      <c r="F9" s="121">
        <v>1230556</v>
      </c>
      <c r="G9" s="121">
        <v>1848280</v>
      </c>
      <c r="H9" s="122">
        <v>1318193</v>
      </c>
      <c r="I9" s="122">
        <v>2407939</v>
      </c>
      <c r="J9" s="123">
        <v>1011815</v>
      </c>
      <c r="K9" s="123">
        <v>1848280</v>
      </c>
      <c r="L9" s="20"/>
      <c r="M9" s="67">
        <f t="shared" si="2"/>
        <v>-7.1217400914708476E-2</v>
      </c>
      <c r="N9" s="67">
        <f t="shared" si="3"/>
        <v>-0.30279990044798405</v>
      </c>
      <c r="P9" s="67">
        <f t="shared" si="4"/>
        <v>0.17775785904908026</v>
      </c>
      <c r="Q9" s="67">
        <f t="shared" si="5"/>
        <v>0</v>
      </c>
      <c r="T9" s="117">
        <v>1</v>
      </c>
      <c r="U9" s="117">
        <v>1</v>
      </c>
      <c r="V9" s="117">
        <v>1</v>
      </c>
      <c r="W9" s="117">
        <v>1</v>
      </c>
      <c r="X9" s="126">
        <v>0</v>
      </c>
      <c r="Y9" s="126">
        <v>0</v>
      </c>
      <c r="Z9" s="117">
        <v>1</v>
      </c>
      <c r="AA9" s="117">
        <v>1</v>
      </c>
      <c r="AB9" s="117">
        <v>1</v>
      </c>
      <c r="AC9" s="117">
        <v>1</v>
      </c>
      <c r="AD9" s="117">
        <v>1</v>
      </c>
      <c r="AE9" s="117">
        <v>1</v>
      </c>
      <c r="AF9" s="117">
        <v>1</v>
      </c>
      <c r="AG9" s="117">
        <v>1</v>
      </c>
      <c r="AH9" s="117">
        <v>1</v>
      </c>
      <c r="AI9" s="117">
        <v>1</v>
      </c>
      <c r="AJ9" s="126">
        <v>0</v>
      </c>
      <c r="AK9" s="126">
        <v>0</v>
      </c>
      <c r="AL9" s="117">
        <v>1</v>
      </c>
      <c r="AM9" s="117">
        <v>1</v>
      </c>
      <c r="AN9" s="117">
        <v>1</v>
      </c>
      <c r="AO9" s="117">
        <v>1</v>
      </c>
      <c r="AP9" s="117">
        <v>1</v>
      </c>
      <c r="AQ9" s="117">
        <v>1</v>
      </c>
      <c r="AR9" s="127">
        <f t="shared" si="1"/>
        <v>20</v>
      </c>
    </row>
    <row r="10" spans="2:44" x14ac:dyDescent="0.25">
      <c r="B10" s="34" t="s">
        <v>101</v>
      </c>
      <c r="C10" s="34" t="s">
        <v>102</v>
      </c>
      <c r="D10" s="124">
        <v>2.58</v>
      </c>
      <c r="E10" s="124">
        <v>4.5999999999999996</v>
      </c>
      <c r="F10" s="121">
        <v>492782</v>
      </c>
      <c r="G10" s="121">
        <v>741615</v>
      </c>
      <c r="H10" s="122">
        <v>558108</v>
      </c>
      <c r="I10" s="122">
        <v>981749</v>
      </c>
      <c r="J10" s="123">
        <v>421596</v>
      </c>
      <c r="K10" s="123">
        <v>741615</v>
      </c>
      <c r="L10" s="20"/>
      <c r="M10" s="67">
        <f t="shared" si="2"/>
        <v>-0.13256571871537515</v>
      </c>
      <c r="N10" s="67">
        <f t="shared" si="3"/>
        <v>-0.32379873654119723</v>
      </c>
      <c r="P10" s="67">
        <f t="shared" si="4"/>
        <v>0.14445738683636983</v>
      </c>
      <c r="Q10" s="67">
        <f t="shared" si="5"/>
        <v>0</v>
      </c>
      <c r="T10" s="117">
        <v>1</v>
      </c>
      <c r="U10" s="117">
        <v>1</v>
      </c>
      <c r="V10" s="117">
        <v>1</v>
      </c>
      <c r="W10" s="117">
        <v>1</v>
      </c>
      <c r="X10" s="117">
        <v>1</v>
      </c>
      <c r="Y10" s="126">
        <v>0</v>
      </c>
      <c r="Z10" s="126">
        <v>0</v>
      </c>
      <c r="AA10" s="117">
        <v>1</v>
      </c>
      <c r="AB10" s="117">
        <v>1</v>
      </c>
      <c r="AC10" s="117">
        <v>1</v>
      </c>
      <c r="AD10" s="117">
        <v>1</v>
      </c>
      <c r="AE10" s="117">
        <v>1</v>
      </c>
      <c r="AF10" s="117">
        <v>1</v>
      </c>
      <c r="AG10" s="117">
        <v>1</v>
      </c>
      <c r="AH10" s="117">
        <v>1</v>
      </c>
      <c r="AI10" s="117">
        <v>1</v>
      </c>
      <c r="AJ10" s="117">
        <v>1</v>
      </c>
      <c r="AK10" s="126">
        <v>0</v>
      </c>
      <c r="AL10" s="126">
        <v>0</v>
      </c>
      <c r="AM10" s="117">
        <v>1</v>
      </c>
      <c r="AN10" s="117">
        <v>1</v>
      </c>
      <c r="AO10" s="117">
        <v>1</v>
      </c>
      <c r="AP10" s="117">
        <v>1</v>
      </c>
      <c r="AQ10" s="117">
        <v>1</v>
      </c>
      <c r="AR10" s="127">
        <f t="shared" si="1"/>
        <v>20</v>
      </c>
    </row>
    <row r="11" spans="2:44" x14ac:dyDescent="0.25">
      <c r="B11" s="34" t="s">
        <v>101</v>
      </c>
      <c r="C11" s="34" t="s">
        <v>103</v>
      </c>
      <c r="D11" s="124">
        <v>5.31</v>
      </c>
      <c r="E11" s="124">
        <v>8.6999999999999993</v>
      </c>
      <c r="F11" s="121">
        <v>914372</v>
      </c>
      <c r="G11" s="121">
        <v>1374001</v>
      </c>
      <c r="H11" s="122">
        <v>115210</v>
      </c>
      <c r="I11" s="122">
        <v>2093428</v>
      </c>
      <c r="J11" s="123">
        <v>758867</v>
      </c>
      <c r="K11" s="123">
        <v>1374001</v>
      </c>
      <c r="L11" s="20"/>
      <c r="M11" s="67">
        <f t="shared" si="2"/>
        <v>0.8740009536599983</v>
      </c>
      <c r="N11" s="67">
        <f t="shared" si="3"/>
        <v>-0.52360005560403522</v>
      </c>
      <c r="P11" s="67">
        <f t="shared" si="4"/>
        <v>0.17006754362557033</v>
      </c>
      <c r="Q11" s="67">
        <f t="shared" si="5"/>
        <v>0</v>
      </c>
      <c r="T11" s="117">
        <v>1</v>
      </c>
      <c r="U11" s="117">
        <v>1</v>
      </c>
      <c r="V11" s="117">
        <v>1</v>
      </c>
      <c r="W11" s="117">
        <v>1</v>
      </c>
      <c r="X11" s="117">
        <v>1</v>
      </c>
      <c r="Y11" s="117">
        <v>1</v>
      </c>
      <c r="Z11" s="126">
        <v>0</v>
      </c>
      <c r="AA11" s="126">
        <v>0</v>
      </c>
      <c r="AB11" s="117">
        <v>1</v>
      </c>
      <c r="AC11" s="117">
        <v>1</v>
      </c>
      <c r="AD11" s="117">
        <v>1</v>
      </c>
      <c r="AE11" s="117">
        <v>1</v>
      </c>
      <c r="AF11" s="117">
        <v>1</v>
      </c>
      <c r="AG11" s="117">
        <v>1</v>
      </c>
      <c r="AH11" s="117">
        <v>1</v>
      </c>
      <c r="AI11" s="117">
        <v>1</v>
      </c>
      <c r="AJ11" s="117">
        <v>1</v>
      </c>
      <c r="AK11" s="117">
        <v>1</v>
      </c>
      <c r="AL11" s="126">
        <v>0</v>
      </c>
      <c r="AM11" s="126">
        <v>0</v>
      </c>
      <c r="AN11" s="117">
        <v>1</v>
      </c>
      <c r="AO11" s="117">
        <v>1</v>
      </c>
      <c r="AP11" s="117">
        <v>1</v>
      </c>
      <c r="AQ11" s="117">
        <v>1</v>
      </c>
      <c r="AR11" s="127">
        <f t="shared" si="1"/>
        <v>20</v>
      </c>
    </row>
    <row r="12" spans="2:44" x14ac:dyDescent="0.25">
      <c r="B12" s="34" t="s">
        <v>101</v>
      </c>
      <c r="C12" s="34" t="s">
        <v>104</v>
      </c>
      <c r="D12" s="124">
        <v>8.0299999999999994</v>
      </c>
      <c r="E12" s="124">
        <v>13.1</v>
      </c>
      <c r="F12" s="121">
        <v>1230556</v>
      </c>
      <c r="G12" s="121">
        <v>1848280</v>
      </c>
      <c r="H12" s="122">
        <v>1318193</v>
      </c>
      <c r="I12" s="122">
        <v>2407939</v>
      </c>
      <c r="J12" s="123">
        <v>1011815</v>
      </c>
      <c r="K12" s="123">
        <v>1848280</v>
      </c>
      <c r="L12" s="20"/>
      <c r="M12" s="67">
        <f t="shared" si="2"/>
        <v>-7.1217400914708476E-2</v>
      </c>
      <c r="N12" s="67">
        <f t="shared" si="3"/>
        <v>-0.30279990044798405</v>
      </c>
      <c r="P12" s="67">
        <f t="shared" si="4"/>
        <v>0.17775785904908026</v>
      </c>
      <c r="Q12" s="67">
        <f t="shared" si="5"/>
        <v>0</v>
      </c>
      <c r="T12" s="117">
        <v>1</v>
      </c>
      <c r="U12" s="117">
        <v>1</v>
      </c>
      <c r="V12" s="117">
        <v>1</v>
      </c>
      <c r="W12" s="117">
        <v>1</v>
      </c>
      <c r="X12" s="117">
        <v>1</v>
      </c>
      <c r="Y12" s="117">
        <v>1</v>
      </c>
      <c r="Z12" s="117">
        <v>1</v>
      </c>
      <c r="AA12" s="126">
        <v>0</v>
      </c>
      <c r="AB12" s="126">
        <v>0</v>
      </c>
      <c r="AC12" s="117">
        <v>1</v>
      </c>
      <c r="AD12" s="117">
        <v>1</v>
      </c>
      <c r="AE12" s="117">
        <v>1</v>
      </c>
      <c r="AF12" s="117">
        <v>1</v>
      </c>
      <c r="AG12" s="117">
        <v>1</v>
      </c>
      <c r="AH12" s="117">
        <v>1</v>
      </c>
      <c r="AI12" s="117">
        <v>1</v>
      </c>
      <c r="AJ12" s="117">
        <v>1</v>
      </c>
      <c r="AK12" s="117">
        <v>1</v>
      </c>
      <c r="AL12" s="117">
        <v>1</v>
      </c>
      <c r="AM12" s="126">
        <v>0</v>
      </c>
      <c r="AN12" s="126">
        <v>0</v>
      </c>
      <c r="AO12" s="117">
        <v>1</v>
      </c>
      <c r="AP12" s="117">
        <v>1</v>
      </c>
      <c r="AQ12" s="117">
        <v>1</v>
      </c>
      <c r="AR12" s="127">
        <f t="shared" si="1"/>
        <v>20</v>
      </c>
    </row>
    <row r="13" spans="2:44" x14ac:dyDescent="0.25">
      <c r="B13" s="34" t="s">
        <v>102</v>
      </c>
      <c r="C13" s="34" t="s">
        <v>103</v>
      </c>
      <c r="D13" s="124">
        <v>2.15</v>
      </c>
      <c r="E13" s="124">
        <v>3.2</v>
      </c>
      <c r="F13" s="121">
        <v>229284</v>
      </c>
      <c r="G13" s="121">
        <v>346365</v>
      </c>
      <c r="H13" s="122">
        <v>262400</v>
      </c>
      <c r="I13" s="122">
        <v>431155</v>
      </c>
      <c r="J13" s="123">
        <v>210797</v>
      </c>
      <c r="K13" s="123">
        <v>346365</v>
      </c>
      <c r="L13" s="20"/>
      <c r="M13" s="67">
        <f t="shared" si="2"/>
        <v>-0.14443223251513407</v>
      </c>
      <c r="N13" s="67">
        <f t="shared" si="3"/>
        <v>-0.24479956115658338</v>
      </c>
      <c r="P13" s="67">
        <f t="shared" si="4"/>
        <v>8.0629263271750323E-2</v>
      </c>
      <c r="Q13" s="67">
        <f t="shared" si="5"/>
        <v>0</v>
      </c>
      <c r="T13" s="117">
        <v>1</v>
      </c>
      <c r="U13" s="117">
        <v>1</v>
      </c>
      <c r="V13" s="117">
        <v>1</v>
      </c>
      <c r="W13" s="117">
        <v>1</v>
      </c>
      <c r="X13" s="117">
        <v>1</v>
      </c>
      <c r="Y13" s="117">
        <v>1</v>
      </c>
      <c r="Z13" s="117">
        <v>1</v>
      </c>
      <c r="AA13" s="117">
        <v>1</v>
      </c>
      <c r="AB13" s="126">
        <v>0</v>
      </c>
      <c r="AC13" s="126">
        <v>0</v>
      </c>
      <c r="AD13" s="117">
        <v>1</v>
      </c>
      <c r="AE13" s="117">
        <v>1</v>
      </c>
      <c r="AF13" s="117">
        <v>1</v>
      </c>
      <c r="AG13" s="117">
        <v>1</v>
      </c>
      <c r="AH13" s="117">
        <v>1</v>
      </c>
      <c r="AI13" s="117">
        <v>1</v>
      </c>
      <c r="AJ13" s="117">
        <v>1</v>
      </c>
      <c r="AK13" s="117">
        <v>1</v>
      </c>
      <c r="AL13" s="117">
        <v>1</v>
      </c>
      <c r="AM13" s="117">
        <v>1</v>
      </c>
      <c r="AN13" s="126">
        <v>0</v>
      </c>
      <c r="AO13" s="126">
        <v>0</v>
      </c>
      <c r="AP13" s="117">
        <v>1</v>
      </c>
      <c r="AQ13" s="117">
        <v>1</v>
      </c>
      <c r="AR13" s="127">
        <f t="shared" si="1"/>
        <v>20</v>
      </c>
    </row>
    <row r="14" spans="2:44" x14ac:dyDescent="0.25">
      <c r="B14" s="34" t="s">
        <v>102</v>
      </c>
      <c r="C14" s="34" t="s">
        <v>104</v>
      </c>
      <c r="D14" s="124">
        <v>4.83</v>
      </c>
      <c r="E14" s="124">
        <v>8.4</v>
      </c>
      <c r="F14" s="121">
        <v>914372</v>
      </c>
      <c r="G14" s="121">
        <v>1374001</v>
      </c>
      <c r="H14" s="122">
        <v>1156210</v>
      </c>
      <c r="I14" s="122">
        <v>2093428</v>
      </c>
      <c r="J14" s="123">
        <v>758867</v>
      </c>
      <c r="K14" s="123">
        <v>1374001</v>
      </c>
      <c r="L14" s="20"/>
      <c r="M14" s="67">
        <f t="shared" si="2"/>
        <v>-0.26448535169493381</v>
      </c>
      <c r="N14" s="67">
        <f t="shared" si="3"/>
        <v>-0.52360005560403522</v>
      </c>
      <c r="P14" s="67">
        <f t="shared" si="4"/>
        <v>0.17006754362557033</v>
      </c>
      <c r="Q14" s="67">
        <f t="shared" si="5"/>
        <v>0</v>
      </c>
      <c r="T14" s="117">
        <v>1</v>
      </c>
      <c r="U14" s="117">
        <v>1</v>
      </c>
      <c r="V14" s="117">
        <v>1</v>
      </c>
      <c r="W14" s="117">
        <v>1</v>
      </c>
      <c r="X14" s="117">
        <v>1</v>
      </c>
      <c r="Y14" s="117">
        <v>1</v>
      </c>
      <c r="Z14" s="117">
        <v>1</v>
      </c>
      <c r="AA14" s="117">
        <v>1</v>
      </c>
      <c r="AB14" s="117">
        <v>1</v>
      </c>
      <c r="AC14" s="126">
        <v>0</v>
      </c>
      <c r="AD14" s="126">
        <v>0</v>
      </c>
      <c r="AE14" s="117">
        <v>1</v>
      </c>
      <c r="AF14" s="117">
        <v>1</v>
      </c>
      <c r="AG14" s="117">
        <v>1</v>
      </c>
      <c r="AH14" s="117">
        <v>1</v>
      </c>
      <c r="AI14" s="117">
        <v>1</v>
      </c>
      <c r="AJ14" s="117">
        <v>1</v>
      </c>
      <c r="AK14" s="117">
        <v>1</v>
      </c>
      <c r="AL14" s="117">
        <v>1</v>
      </c>
      <c r="AM14" s="117">
        <v>1</v>
      </c>
      <c r="AN14" s="117">
        <v>1</v>
      </c>
      <c r="AO14" s="126">
        <v>0</v>
      </c>
      <c r="AP14" s="126">
        <v>0</v>
      </c>
      <c r="AQ14" s="117">
        <v>1</v>
      </c>
      <c r="AR14" s="127">
        <f t="shared" si="1"/>
        <v>20</v>
      </c>
    </row>
    <row r="15" spans="2:44" x14ac:dyDescent="0.25">
      <c r="B15" s="34" t="s">
        <v>103</v>
      </c>
      <c r="C15" s="34" t="s">
        <v>104</v>
      </c>
      <c r="D15" s="124">
        <v>2.72</v>
      </c>
      <c r="E15" s="124">
        <v>5.5</v>
      </c>
      <c r="F15" s="121">
        <v>492782</v>
      </c>
      <c r="G15" s="121">
        <v>741615</v>
      </c>
      <c r="H15" s="122">
        <v>558108</v>
      </c>
      <c r="I15" s="122">
        <v>981749</v>
      </c>
      <c r="J15" s="123">
        <v>421596</v>
      </c>
      <c r="K15" s="123">
        <v>741615</v>
      </c>
      <c r="L15" s="20"/>
      <c r="M15" s="67">
        <f t="shared" si="2"/>
        <v>-0.13256571871537515</v>
      </c>
      <c r="N15" s="67">
        <f t="shared" si="3"/>
        <v>-0.32379873654119723</v>
      </c>
      <c r="P15" s="67">
        <f t="shared" si="4"/>
        <v>0.14445738683636983</v>
      </c>
      <c r="Q15" s="67">
        <f t="shared" si="5"/>
        <v>0</v>
      </c>
      <c r="T15" s="117">
        <v>1</v>
      </c>
      <c r="U15" s="117">
        <v>1</v>
      </c>
      <c r="V15" s="117">
        <v>1</v>
      </c>
      <c r="W15" s="117">
        <v>1</v>
      </c>
      <c r="X15" s="117">
        <v>1</v>
      </c>
      <c r="Y15" s="117">
        <v>1</v>
      </c>
      <c r="Z15" s="117">
        <v>1</v>
      </c>
      <c r="AA15" s="117">
        <v>1</v>
      </c>
      <c r="AB15" s="117">
        <v>1</v>
      </c>
      <c r="AC15" s="117">
        <v>1</v>
      </c>
      <c r="AD15" s="126">
        <v>0</v>
      </c>
      <c r="AE15" s="126">
        <v>0</v>
      </c>
      <c r="AF15" s="117">
        <v>1</v>
      </c>
      <c r="AG15" s="117">
        <v>1</v>
      </c>
      <c r="AH15" s="117">
        <v>1</v>
      </c>
      <c r="AI15" s="117">
        <v>1</v>
      </c>
      <c r="AJ15" s="117">
        <v>1</v>
      </c>
      <c r="AK15" s="117">
        <v>1</v>
      </c>
      <c r="AL15" s="117">
        <v>1</v>
      </c>
      <c r="AM15" s="117">
        <v>1</v>
      </c>
      <c r="AN15" s="117">
        <v>1</v>
      </c>
      <c r="AO15" s="117">
        <v>1</v>
      </c>
      <c r="AP15" s="126">
        <v>0</v>
      </c>
      <c r="AQ15" s="126">
        <v>0</v>
      </c>
      <c r="AR15" s="127">
        <f t="shared" si="1"/>
        <v>20</v>
      </c>
    </row>
    <row r="16" spans="2:44" x14ac:dyDescent="0.25">
      <c r="F16" s="25">
        <f>AVERAGE(F6:F15)</f>
        <v>714114.2</v>
      </c>
      <c r="G16" s="25">
        <f>AVERAGE(G6:G15)</f>
        <v>1073613.8</v>
      </c>
      <c r="T16" s="126">
        <v>0</v>
      </c>
      <c r="U16" s="117">
        <v>1</v>
      </c>
      <c r="V16" s="117">
        <v>1</v>
      </c>
      <c r="W16" s="117">
        <v>1</v>
      </c>
      <c r="X16" s="117">
        <v>1</v>
      </c>
      <c r="Y16" s="117">
        <v>1</v>
      </c>
      <c r="Z16" s="117">
        <v>1</v>
      </c>
      <c r="AA16" s="117">
        <v>1</v>
      </c>
      <c r="AB16" s="117">
        <v>1</v>
      </c>
      <c r="AC16" s="117">
        <v>1</v>
      </c>
      <c r="AD16" s="117">
        <v>1</v>
      </c>
      <c r="AE16" s="126">
        <v>0</v>
      </c>
      <c r="AF16" s="126">
        <v>0</v>
      </c>
      <c r="AG16" s="117">
        <v>1</v>
      </c>
      <c r="AH16" s="117">
        <v>1</v>
      </c>
      <c r="AI16" s="117">
        <v>1</v>
      </c>
      <c r="AJ16" s="117">
        <v>1</v>
      </c>
      <c r="AK16" s="117">
        <v>1</v>
      </c>
      <c r="AL16" s="117">
        <v>1</v>
      </c>
      <c r="AM16" s="117">
        <v>1</v>
      </c>
      <c r="AN16" s="117">
        <v>1</v>
      </c>
      <c r="AO16" s="117">
        <v>1</v>
      </c>
      <c r="AP16" s="117">
        <v>1</v>
      </c>
      <c r="AQ16" s="126">
        <v>0</v>
      </c>
      <c r="AR16" s="127">
        <f t="shared" si="1"/>
        <v>20</v>
      </c>
    </row>
    <row r="17" spans="2:44" x14ac:dyDescent="0.25">
      <c r="T17" s="126">
        <v>0</v>
      </c>
      <c r="U17" s="126">
        <v>0</v>
      </c>
      <c r="V17" s="117">
        <v>1</v>
      </c>
      <c r="W17" s="117">
        <v>1</v>
      </c>
      <c r="X17" s="117">
        <v>1</v>
      </c>
      <c r="Y17" s="117">
        <v>1</v>
      </c>
      <c r="Z17" s="117">
        <v>1</v>
      </c>
      <c r="AA17" s="117">
        <v>1</v>
      </c>
      <c r="AB17" s="117">
        <v>1</v>
      </c>
      <c r="AC17" s="117">
        <v>1</v>
      </c>
      <c r="AD17" s="117">
        <v>1</v>
      </c>
      <c r="AE17" s="117">
        <v>1</v>
      </c>
      <c r="AF17" s="126">
        <v>0</v>
      </c>
      <c r="AG17" s="126">
        <v>0</v>
      </c>
      <c r="AH17" s="117">
        <v>1</v>
      </c>
      <c r="AI17" s="117">
        <v>1</v>
      </c>
      <c r="AJ17" s="117">
        <v>1</v>
      </c>
      <c r="AK17" s="117">
        <v>1</v>
      </c>
      <c r="AL17" s="117">
        <v>1</v>
      </c>
      <c r="AM17" s="117">
        <v>1</v>
      </c>
      <c r="AN17" s="117">
        <v>1</v>
      </c>
      <c r="AO17" s="117">
        <v>1</v>
      </c>
      <c r="AP17" s="117">
        <v>1</v>
      </c>
      <c r="AQ17" s="117">
        <v>1</v>
      </c>
      <c r="AR17" s="127">
        <f t="shared" si="1"/>
        <v>20</v>
      </c>
    </row>
    <row r="18" spans="2:44" x14ac:dyDescent="0.25">
      <c r="T18" s="117">
        <v>1</v>
      </c>
      <c r="U18" s="126">
        <v>0</v>
      </c>
      <c r="V18" s="126">
        <v>0</v>
      </c>
      <c r="W18" s="117">
        <v>1</v>
      </c>
      <c r="X18" s="117">
        <v>1</v>
      </c>
      <c r="Y18" s="117">
        <v>1</v>
      </c>
      <c r="Z18" s="117">
        <v>1</v>
      </c>
      <c r="AA18" s="117">
        <v>1</v>
      </c>
      <c r="AB18" s="117">
        <v>1</v>
      </c>
      <c r="AC18" s="117">
        <v>1</v>
      </c>
      <c r="AD18" s="117">
        <v>1</v>
      </c>
      <c r="AE18" s="117">
        <v>1</v>
      </c>
      <c r="AF18" s="117">
        <v>1</v>
      </c>
      <c r="AG18" s="126">
        <v>0</v>
      </c>
      <c r="AH18" s="126">
        <v>0</v>
      </c>
      <c r="AI18" s="117">
        <v>1</v>
      </c>
      <c r="AJ18" s="117">
        <v>1</v>
      </c>
      <c r="AK18" s="117">
        <v>1</v>
      </c>
      <c r="AL18" s="117">
        <v>1</v>
      </c>
      <c r="AM18" s="117">
        <v>1</v>
      </c>
      <c r="AN18" s="117">
        <v>1</v>
      </c>
      <c r="AO18" s="117">
        <v>1</v>
      </c>
      <c r="AP18" s="117">
        <v>1</v>
      </c>
      <c r="AQ18" s="117">
        <v>1</v>
      </c>
      <c r="AR18" s="127">
        <f t="shared" si="1"/>
        <v>20</v>
      </c>
    </row>
    <row r="19" spans="2:44" x14ac:dyDescent="0.25">
      <c r="B19" s="109" t="s">
        <v>262</v>
      </c>
      <c r="T19" s="117">
        <v>1</v>
      </c>
      <c r="U19" s="117">
        <v>1</v>
      </c>
      <c r="V19" s="126">
        <v>0</v>
      </c>
      <c r="W19" s="126">
        <v>0</v>
      </c>
      <c r="X19" s="117">
        <v>1</v>
      </c>
      <c r="Y19" s="117">
        <v>1</v>
      </c>
      <c r="Z19" s="117">
        <v>1</v>
      </c>
      <c r="AA19" s="117">
        <v>1</v>
      </c>
      <c r="AB19" s="117">
        <v>1</v>
      </c>
      <c r="AC19" s="117">
        <v>1</v>
      </c>
      <c r="AD19" s="117">
        <v>1</v>
      </c>
      <c r="AE19" s="117">
        <v>1</v>
      </c>
      <c r="AF19" s="117">
        <v>1</v>
      </c>
      <c r="AG19" s="117">
        <v>1</v>
      </c>
      <c r="AH19" s="126">
        <v>0</v>
      </c>
      <c r="AI19" s="126">
        <v>0</v>
      </c>
      <c r="AJ19" s="117">
        <v>1</v>
      </c>
      <c r="AK19" s="117">
        <v>1</v>
      </c>
      <c r="AL19" s="117">
        <v>1</v>
      </c>
      <c r="AM19" s="117">
        <v>1</v>
      </c>
      <c r="AN19" s="117">
        <v>1</v>
      </c>
      <c r="AO19" s="117">
        <v>1</v>
      </c>
      <c r="AP19" s="117">
        <v>1</v>
      </c>
      <c r="AQ19" s="117">
        <v>1</v>
      </c>
      <c r="AR19" s="127">
        <f t="shared" si="1"/>
        <v>20</v>
      </c>
    </row>
    <row r="20" spans="2:44" x14ac:dyDescent="0.25">
      <c r="B20" s="109"/>
      <c r="T20" s="117">
        <v>1</v>
      </c>
      <c r="U20" s="117">
        <v>1</v>
      </c>
      <c r="V20" s="117">
        <v>1</v>
      </c>
      <c r="W20" s="126">
        <v>0</v>
      </c>
      <c r="X20" s="126">
        <v>0</v>
      </c>
      <c r="Y20" s="117">
        <v>1</v>
      </c>
      <c r="Z20" s="117">
        <v>1</v>
      </c>
      <c r="AA20" s="117">
        <v>1</v>
      </c>
      <c r="AB20" s="117">
        <v>1</v>
      </c>
      <c r="AC20" s="117">
        <v>1</v>
      </c>
      <c r="AD20" s="117">
        <v>1</v>
      </c>
      <c r="AE20" s="117">
        <v>1</v>
      </c>
      <c r="AF20" s="117">
        <v>1</v>
      </c>
      <c r="AG20" s="117">
        <v>1</v>
      </c>
      <c r="AH20" s="117">
        <v>1</v>
      </c>
      <c r="AI20" s="126">
        <v>0</v>
      </c>
      <c r="AJ20" s="126">
        <v>0</v>
      </c>
      <c r="AK20" s="117">
        <v>1</v>
      </c>
      <c r="AL20" s="117">
        <v>1</v>
      </c>
      <c r="AM20" s="117">
        <v>1</v>
      </c>
      <c r="AN20" s="117">
        <v>1</v>
      </c>
      <c r="AO20" s="117">
        <v>1</v>
      </c>
      <c r="AP20" s="117">
        <v>1</v>
      </c>
      <c r="AQ20" s="117">
        <v>1</v>
      </c>
      <c r="AR20" s="127">
        <f t="shared" si="1"/>
        <v>20</v>
      </c>
    </row>
    <row r="21" spans="2:44" x14ac:dyDescent="0.25">
      <c r="B21" s="265" t="s">
        <v>105</v>
      </c>
      <c r="C21" s="265" t="s">
        <v>106</v>
      </c>
      <c r="D21" s="265" t="s">
        <v>260</v>
      </c>
      <c r="E21" s="265"/>
      <c r="F21" s="265" t="s">
        <v>257</v>
      </c>
      <c r="G21" s="265"/>
      <c r="H21" s="265" t="s">
        <v>258</v>
      </c>
      <c r="I21" s="265"/>
      <c r="J21" s="265" t="s">
        <v>259</v>
      </c>
      <c r="K21" s="265"/>
      <c r="M21" s="251" t="s">
        <v>263</v>
      </c>
      <c r="N21" s="251"/>
      <c r="P21" s="251" t="s">
        <v>264</v>
      </c>
      <c r="Q21" s="251"/>
      <c r="T21" s="117">
        <v>1</v>
      </c>
      <c r="U21" s="117">
        <v>1</v>
      </c>
      <c r="V21" s="117">
        <v>1</v>
      </c>
      <c r="W21" s="117">
        <v>1</v>
      </c>
      <c r="X21" s="126">
        <v>0</v>
      </c>
      <c r="Y21" s="126">
        <v>0</v>
      </c>
      <c r="Z21" s="117">
        <v>1</v>
      </c>
      <c r="AA21" s="117">
        <v>1</v>
      </c>
      <c r="AB21" s="117">
        <v>1</v>
      </c>
      <c r="AC21" s="117">
        <v>1</v>
      </c>
      <c r="AD21" s="117">
        <v>1</v>
      </c>
      <c r="AE21" s="117">
        <v>1</v>
      </c>
      <c r="AF21" s="117">
        <v>1</v>
      </c>
      <c r="AG21" s="117">
        <v>1</v>
      </c>
      <c r="AH21" s="117">
        <v>1</v>
      </c>
      <c r="AI21" s="117">
        <v>1</v>
      </c>
      <c r="AJ21" s="126">
        <v>0</v>
      </c>
      <c r="AK21" s="126">
        <v>0</v>
      </c>
      <c r="AL21" s="117">
        <v>1</v>
      </c>
      <c r="AM21" s="117">
        <v>1</v>
      </c>
      <c r="AN21" s="117">
        <v>1</v>
      </c>
      <c r="AO21" s="117">
        <v>1</v>
      </c>
      <c r="AP21" s="117">
        <v>1</v>
      </c>
      <c r="AQ21" s="117">
        <v>1</v>
      </c>
      <c r="AR21" s="127">
        <f t="shared" si="1"/>
        <v>20</v>
      </c>
    </row>
    <row r="22" spans="2:44" x14ac:dyDescent="0.25">
      <c r="B22" s="265"/>
      <c r="C22" s="265"/>
      <c r="D22" s="120" t="s">
        <v>84</v>
      </c>
      <c r="E22" s="120" t="s">
        <v>254</v>
      </c>
      <c r="F22" s="120" t="s">
        <v>255</v>
      </c>
      <c r="G22" s="120" t="s">
        <v>256</v>
      </c>
      <c r="H22" s="120" t="s">
        <v>255</v>
      </c>
      <c r="I22" s="120" t="s">
        <v>256</v>
      </c>
      <c r="J22" s="120" t="s">
        <v>255</v>
      </c>
      <c r="K22" s="120" t="s">
        <v>256</v>
      </c>
      <c r="M22" s="125" t="s">
        <v>255</v>
      </c>
      <c r="N22" s="125" t="s">
        <v>256</v>
      </c>
      <c r="P22" s="125" t="s">
        <v>255</v>
      </c>
      <c r="Q22" s="125" t="s">
        <v>256</v>
      </c>
      <c r="T22" s="117">
        <v>1</v>
      </c>
      <c r="U22" s="117">
        <v>1</v>
      </c>
      <c r="V22" s="117">
        <v>1</v>
      </c>
      <c r="W22" s="117">
        <v>1</v>
      </c>
      <c r="X22" s="117">
        <v>1</v>
      </c>
      <c r="Y22" s="126">
        <v>0</v>
      </c>
      <c r="Z22" s="126">
        <v>0</v>
      </c>
      <c r="AA22" s="117">
        <v>1</v>
      </c>
      <c r="AB22" s="117">
        <v>1</v>
      </c>
      <c r="AC22" s="117">
        <v>1</v>
      </c>
      <c r="AD22" s="117">
        <v>1</v>
      </c>
      <c r="AE22" s="117">
        <v>1</v>
      </c>
      <c r="AF22" s="117">
        <v>1</v>
      </c>
      <c r="AG22" s="117">
        <v>1</v>
      </c>
      <c r="AH22" s="117">
        <v>1</v>
      </c>
      <c r="AI22" s="117">
        <v>1</v>
      </c>
      <c r="AJ22" s="117">
        <v>1</v>
      </c>
      <c r="AK22" s="126">
        <v>0</v>
      </c>
      <c r="AL22" s="126">
        <v>0</v>
      </c>
      <c r="AM22" s="117">
        <v>1</v>
      </c>
      <c r="AN22" s="117">
        <v>1</v>
      </c>
      <c r="AO22" s="117">
        <v>1</v>
      </c>
      <c r="AP22" s="117">
        <v>1</v>
      </c>
      <c r="AQ22" s="117">
        <v>1</v>
      </c>
      <c r="AR22" s="127">
        <f t="shared" si="1"/>
        <v>20</v>
      </c>
    </row>
    <row r="23" spans="2:44" x14ac:dyDescent="0.25">
      <c r="B23" s="34" t="s">
        <v>100</v>
      </c>
      <c r="C23" s="34" t="s">
        <v>101</v>
      </c>
      <c r="D23" s="124">
        <v>2.62</v>
      </c>
      <c r="E23" s="124">
        <v>4</v>
      </c>
      <c r="F23" s="121">
        <v>186359</v>
      </c>
      <c r="G23" s="121">
        <v>252957</v>
      </c>
      <c r="H23" s="122">
        <v>209920</v>
      </c>
      <c r="I23" s="122">
        <v>314881</v>
      </c>
      <c r="J23" s="123">
        <v>166637</v>
      </c>
      <c r="K23" s="123">
        <v>252957</v>
      </c>
      <c r="M23" s="67">
        <f>(F23-H23)/F23</f>
        <v>-0.12642802333131214</v>
      </c>
      <c r="N23" s="67">
        <f>(G23-I23)/G23</f>
        <v>-0.24480049968967058</v>
      </c>
      <c r="P23" s="67">
        <f>(F23-J23)/F23</f>
        <v>0.10582799864777123</v>
      </c>
      <c r="Q23" s="67">
        <f>(G23-K23)/G23</f>
        <v>0</v>
      </c>
      <c r="T23" s="117">
        <v>1</v>
      </c>
      <c r="U23" s="117">
        <v>1</v>
      </c>
      <c r="V23" s="117">
        <v>1</v>
      </c>
      <c r="W23" s="117">
        <v>1</v>
      </c>
      <c r="X23" s="117">
        <v>1</v>
      </c>
      <c r="Y23" s="117">
        <v>1</v>
      </c>
      <c r="Z23" s="126">
        <v>0</v>
      </c>
      <c r="AA23" s="126">
        <v>0</v>
      </c>
      <c r="AB23" s="117">
        <v>1</v>
      </c>
      <c r="AC23" s="117">
        <v>1</v>
      </c>
      <c r="AD23" s="117">
        <v>1</v>
      </c>
      <c r="AE23" s="117">
        <v>1</v>
      </c>
      <c r="AF23" s="117">
        <v>1</v>
      </c>
      <c r="AG23" s="117">
        <v>1</v>
      </c>
      <c r="AH23" s="117">
        <v>1</v>
      </c>
      <c r="AI23" s="117">
        <v>1</v>
      </c>
      <c r="AJ23" s="117">
        <v>1</v>
      </c>
      <c r="AK23" s="117">
        <v>1</v>
      </c>
      <c r="AL23" s="126">
        <v>0</v>
      </c>
      <c r="AM23" s="126">
        <v>0</v>
      </c>
      <c r="AN23" s="117">
        <v>1</v>
      </c>
      <c r="AO23" s="117">
        <v>1</v>
      </c>
      <c r="AP23" s="117">
        <v>1</v>
      </c>
      <c r="AQ23" s="117">
        <v>1</v>
      </c>
      <c r="AR23" s="127">
        <f t="shared" si="1"/>
        <v>20</v>
      </c>
    </row>
    <row r="24" spans="2:44" x14ac:dyDescent="0.25">
      <c r="B24" s="34" t="s">
        <v>100</v>
      </c>
      <c r="C24" s="34" t="s">
        <v>102</v>
      </c>
      <c r="D24" s="124">
        <v>3.2</v>
      </c>
      <c r="E24" s="124">
        <v>7</v>
      </c>
      <c r="F24" s="121">
        <v>228522</v>
      </c>
      <c r="G24" s="121">
        <v>303546</v>
      </c>
      <c r="H24" s="122">
        <v>267895</v>
      </c>
      <c r="I24" s="122">
        <v>401834</v>
      </c>
      <c r="J24" s="123">
        <v>202368</v>
      </c>
      <c r="K24" s="123">
        <v>303546</v>
      </c>
      <c r="M24" s="67">
        <f t="shared" ref="M24:M32" si="6">(F24-H24)/F24</f>
        <v>-0.17229413360639237</v>
      </c>
      <c r="N24" s="67">
        <f t="shared" ref="N24:N32" si="7">(G24-I24)/G24</f>
        <v>-0.32379935825212652</v>
      </c>
      <c r="P24" s="67">
        <f t="shared" ref="P24:P32" si="8">(F24-J24)/F24</f>
        <v>0.11444849948801428</v>
      </c>
      <c r="Q24" s="67">
        <f t="shared" ref="Q24:Q32" si="9">(G24-K24)/G24</f>
        <v>0</v>
      </c>
      <c r="T24" s="117">
        <v>1</v>
      </c>
      <c r="U24" s="117">
        <v>1</v>
      </c>
      <c r="V24" s="117">
        <v>1</v>
      </c>
      <c r="W24" s="117">
        <v>1</v>
      </c>
      <c r="X24" s="117">
        <v>1</v>
      </c>
      <c r="Y24" s="117">
        <v>1</v>
      </c>
      <c r="Z24" s="117">
        <v>1</v>
      </c>
      <c r="AA24" s="126">
        <v>0</v>
      </c>
      <c r="AB24" s="126">
        <v>0</v>
      </c>
      <c r="AC24" s="117">
        <v>1</v>
      </c>
      <c r="AD24" s="117">
        <v>1</v>
      </c>
      <c r="AE24" s="117">
        <v>1</v>
      </c>
      <c r="AF24" s="117">
        <v>1</v>
      </c>
      <c r="AG24" s="117">
        <v>1</v>
      </c>
      <c r="AH24" s="117">
        <v>1</v>
      </c>
      <c r="AI24" s="117">
        <v>1</v>
      </c>
      <c r="AJ24" s="117">
        <v>1</v>
      </c>
      <c r="AK24" s="117">
        <v>1</v>
      </c>
      <c r="AL24" s="117">
        <v>1</v>
      </c>
      <c r="AM24" s="126">
        <v>0</v>
      </c>
      <c r="AN24" s="126">
        <v>0</v>
      </c>
      <c r="AO24" s="117">
        <v>1</v>
      </c>
      <c r="AP24" s="117">
        <v>1</v>
      </c>
      <c r="AQ24" s="117">
        <v>1</v>
      </c>
      <c r="AR24" s="127">
        <f t="shared" si="1"/>
        <v>20</v>
      </c>
    </row>
    <row r="25" spans="2:44" x14ac:dyDescent="0.25">
      <c r="B25" s="34" t="s">
        <v>100</v>
      </c>
      <c r="C25" s="34" t="s">
        <v>103</v>
      </c>
      <c r="D25" s="124">
        <v>7.89</v>
      </c>
      <c r="E25" s="124">
        <v>10.7</v>
      </c>
      <c r="F25" s="121">
        <v>439312</v>
      </c>
      <c r="G25" s="121">
        <v>556498</v>
      </c>
      <c r="H25" s="122">
        <v>565255</v>
      </c>
      <c r="I25" s="122">
        <v>847880</v>
      </c>
      <c r="J25" s="123">
        <v>370999</v>
      </c>
      <c r="K25" s="123">
        <v>556498</v>
      </c>
      <c r="M25" s="67">
        <f t="shared" si="6"/>
        <v>-0.28668235786866736</v>
      </c>
      <c r="N25" s="67">
        <f t="shared" si="7"/>
        <v>-0.52359936603545743</v>
      </c>
      <c r="P25" s="67">
        <f t="shared" si="8"/>
        <v>0.15549996357941509</v>
      </c>
      <c r="Q25" s="67">
        <f t="shared" si="9"/>
        <v>0</v>
      </c>
      <c r="T25" s="117">
        <v>1</v>
      </c>
      <c r="U25" s="117">
        <v>1</v>
      </c>
      <c r="V25" s="117">
        <v>1</v>
      </c>
      <c r="W25" s="117">
        <v>1</v>
      </c>
      <c r="X25" s="117">
        <v>1</v>
      </c>
      <c r="Y25" s="117">
        <v>1</v>
      </c>
      <c r="Z25" s="117">
        <v>1</v>
      </c>
      <c r="AA25" s="117">
        <v>1</v>
      </c>
      <c r="AB25" s="126">
        <v>0</v>
      </c>
      <c r="AC25" s="126">
        <v>0</v>
      </c>
      <c r="AD25" s="117">
        <v>1</v>
      </c>
      <c r="AE25" s="117">
        <v>1</v>
      </c>
      <c r="AF25" s="117">
        <v>1</v>
      </c>
      <c r="AG25" s="117">
        <v>1</v>
      </c>
      <c r="AH25" s="117">
        <v>1</v>
      </c>
      <c r="AI25" s="117">
        <v>1</v>
      </c>
      <c r="AJ25" s="117">
        <v>1</v>
      </c>
      <c r="AK25" s="117">
        <v>1</v>
      </c>
      <c r="AL25" s="117">
        <v>1</v>
      </c>
      <c r="AM25" s="117">
        <v>1</v>
      </c>
      <c r="AN25" s="126">
        <v>0</v>
      </c>
      <c r="AO25" s="126">
        <v>0</v>
      </c>
      <c r="AP25" s="117">
        <v>1</v>
      </c>
      <c r="AQ25" s="117">
        <v>1</v>
      </c>
      <c r="AR25" s="127">
        <f t="shared" si="1"/>
        <v>20</v>
      </c>
    </row>
    <row r="26" spans="2:44" x14ac:dyDescent="0.25">
      <c r="B26" s="34" t="s">
        <v>100</v>
      </c>
      <c r="C26" s="34" t="s">
        <v>104</v>
      </c>
      <c r="D26" s="124">
        <v>10.61</v>
      </c>
      <c r="E26" s="124">
        <v>15.5</v>
      </c>
      <c r="F26" s="121">
        <v>629031</v>
      </c>
      <c r="G26" s="121">
        <v>784157</v>
      </c>
      <c r="H26" s="122">
        <v>681071</v>
      </c>
      <c r="I26" s="122">
        <v>1021600</v>
      </c>
      <c r="J26" s="123">
        <v>522775</v>
      </c>
      <c r="K26" s="123">
        <v>784157</v>
      </c>
      <c r="M26" s="67">
        <f t="shared" si="6"/>
        <v>-8.2730421871100149E-2</v>
      </c>
      <c r="N26" s="67">
        <f t="shared" si="7"/>
        <v>-0.30280033207635715</v>
      </c>
      <c r="P26" s="67">
        <f t="shared" si="8"/>
        <v>0.1689201327120603</v>
      </c>
      <c r="Q26" s="67">
        <f t="shared" si="9"/>
        <v>0</v>
      </c>
      <c r="T26" s="128">
        <f t="shared" ref="T26:AQ26" si="10">SUM(T5:T25)</f>
        <v>18</v>
      </c>
      <c r="U26" s="128">
        <f t="shared" si="10"/>
        <v>17</v>
      </c>
      <c r="V26" s="128">
        <f t="shared" si="10"/>
        <v>17</v>
      </c>
      <c r="W26" s="128">
        <f t="shared" si="10"/>
        <v>17</v>
      </c>
      <c r="X26" s="128">
        <f t="shared" si="10"/>
        <v>17</v>
      </c>
      <c r="Y26" s="128">
        <f t="shared" si="10"/>
        <v>17</v>
      </c>
      <c r="Z26" s="128">
        <f t="shared" si="10"/>
        <v>17</v>
      </c>
      <c r="AA26" s="128">
        <f t="shared" si="10"/>
        <v>17</v>
      </c>
      <c r="AB26" s="128">
        <f t="shared" si="10"/>
        <v>17</v>
      </c>
      <c r="AC26" s="128">
        <f t="shared" si="10"/>
        <v>18</v>
      </c>
      <c r="AD26" s="128">
        <f t="shared" si="10"/>
        <v>19</v>
      </c>
      <c r="AE26" s="128">
        <f t="shared" si="10"/>
        <v>19</v>
      </c>
      <c r="AF26" s="128">
        <f t="shared" si="10"/>
        <v>18</v>
      </c>
      <c r="AG26" s="128">
        <f t="shared" si="10"/>
        <v>17</v>
      </c>
      <c r="AH26" s="128">
        <f t="shared" si="10"/>
        <v>17</v>
      </c>
      <c r="AI26" s="128">
        <f t="shared" si="10"/>
        <v>17</v>
      </c>
      <c r="AJ26" s="128">
        <f t="shared" si="10"/>
        <v>17</v>
      </c>
      <c r="AK26" s="128">
        <f t="shared" si="10"/>
        <v>17</v>
      </c>
      <c r="AL26" s="128">
        <f t="shared" si="10"/>
        <v>17</v>
      </c>
      <c r="AM26" s="128">
        <f t="shared" si="10"/>
        <v>17</v>
      </c>
      <c r="AN26" s="128">
        <f t="shared" si="10"/>
        <v>17</v>
      </c>
      <c r="AO26" s="128">
        <f t="shared" si="10"/>
        <v>18</v>
      </c>
      <c r="AP26" s="128">
        <f t="shared" si="10"/>
        <v>19</v>
      </c>
      <c r="AQ26" s="128">
        <f t="shared" si="10"/>
        <v>19</v>
      </c>
      <c r="AR26" s="138"/>
    </row>
    <row r="27" spans="2:44" ht="15" customHeight="1" x14ac:dyDescent="0.25">
      <c r="B27" s="34" t="s">
        <v>101</v>
      </c>
      <c r="C27" s="34" t="s">
        <v>102</v>
      </c>
      <c r="D27" s="124">
        <v>2.58</v>
      </c>
      <c r="E27" s="124">
        <v>4.5999999999999996</v>
      </c>
      <c r="F27" s="121">
        <v>228522</v>
      </c>
      <c r="G27" s="121">
        <v>303546</v>
      </c>
      <c r="H27" s="122">
        <v>267895</v>
      </c>
      <c r="I27" s="122">
        <v>401834</v>
      </c>
      <c r="J27" s="123">
        <v>202368</v>
      </c>
      <c r="K27" s="123">
        <v>303546</v>
      </c>
      <c r="M27" s="67">
        <f t="shared" si="6"/>
        <v>-0.17229413360639237</v>
      </c>
      <c r="N27" s="67">
        <f t="shared" si="7"/>
        <v>-0.32379935825212652</v>
      </c>
      <c r="P27" s="67">
        <f t="shared" si="8"/>
        <v>0.11444849948801428</v>
      </c>
      <c r="Q27" s="67">
        <f t="shared" si="9"/>
        <v>0</v>
      </c>
      <c r="T27" s="262" t="s">
        <v>267</v>
      </c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</row>
    <row r="28" spans="2:44" x14ac:dyDescent="0.25">
      <c r="B28" s="34" t="s">
        <v>101</v>
      </c>
      <c r="C28" s="34" t="s">
        <v>103</v>
      </c>
      <c r="D28" s="124">
        <v>5.31</v>
      </c>
      <c r="E28" s="124">
        <v>8.6999999999999993</v>
      </c>
      <c r="F28" s="121">
        <v>439312</v>
      </c>
      <c r="G28" s="121">
        <v>556498</v>
      </c>
      <c r="H28" s="122">
        <v>565255</v>
      </c>
      <c r="I28" s="122">
        <v>847880</v>
      </c>
      <c r="J28" s="123">
        <v>370999</v>
      </c>
      <c r="K28" s="123">
        <v>556498</v>
      </c>
      <c r="M28" s="67">
        <f t="shared" si="6"/>
        <v>-0.28668235786866736</v>
      </c>
      <c r="N28" s="67">
        <f t="shared" si="7"/>
        <v>-0.52359936603545743</v>
      </c>
      <c r="P28" s="67">
        <f t="shared" si="8"/>
        <v>0.15549996357941509</v>
      </c>
      <c r="Q28" s="67">
        <f t="shared" si="9"/>
        <v>0</v>
      </c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</row>
    <row r="29" spans="2:44" x14ac:dyDescent="0.25">
      <c r="B29" s="34" t="s">
        <v>101</v>
      </c>
      <c r="C29" s="34" t="s">
        <v>104</v>
      </c>
      <c r="D29" s="124">
        <v>8.0299999999999994</v>
      </c>
      <c r="E29" s="124">
        <v>13.1</v>
      </c>
      <c r="F29" s="121">
        <v>629031</v>
      </c>
      <c r="G29" s="121">
        <v>784157</v>
      </c>
      <c r="H29" s="122">
        <v>681071</v>
      </c>
      <c r="I29" s="122">
        <v>1021600</v>
      </c>
      <c r="J29" s="123">
        <v>522775</v>
      </c>
      <c r="K29" s="123">
        <v>784157</v>
      </c>
      <c r="M29" s="67">
        <f t="shared" si="6"/>
        <v>-8.2730421871100149E-2</v>
      </c>
      <c r="N29" s="67">
        <f t="shared" si="7"/>
        <v>-0.30280033207635715</v>
      </c>
      <c r="P29" s="67">
        <f t="shared" si="8"/>
        <v>0.1689201327120603</v>
      </c>
      <c r="Q29" s="67">
        <f t="shared" si="9"/>
        <v>0</v>
      </c>
    </row>
    <row r="30" spans="2:44" x14ac:dyDescent="0.25">
      <c r="B30" s="34" t="s">
        <v>102</v>
      </c>
      <c r="C30" s="34" t="s">
        <v>103</v>
      </c>
      <c r="D30" s="124">
        <v>2.15</v>
      </c>
      <c r="E30" s="124">
        <v>3.2</v>
      </c>
      <c r="F30" s="121">
        <v>186359</v>
      </c>
      <c r="G30" s="121">
        <v>252957</v>
      </c>
      <c r="H30" s="122">
        <v>209920</v>
      </c>
      <c r="I30" s="122">
        <v>314881</v>
      </c>
      <c r="J30" s="123">
        <v>168637</v>
      </c>
      <c r="K30" s="123">
        <v>252957</v>
      </c>
      <c r="M30" s="67">
        <f t="shared" si="6"/>
        <v>-0.12642802333131214</v>
      </c>
      <c r="N30" s="67">
        <f t="shared" si="7"/>
        <v>-0.24480049968967058</v>
      </c>
      <c r="P30" s="67">
        <f t="shared" si="8"/>
        <v>9.5096024340117727E-2</v>
      </c>
      <c r="Q30" s="67">
        <f t="shared" si="9"/>
        <v>0</v>
      </c>
    </row>
    <row r="31" spans="2:44" x14ac:dyDescent="0.25">
      <c r="B31" s="34" t="s">
        <v>102</v>
      </c>
      <c r="C31" s="34" t="s">
        <v>104</v>
      </c>
      <c r="D31" s="124">
        <v>4.83</v>
      </c>
      <c r="E31" s="124">
        <v>8.4</v>
      </c>
      <c r="F31" s="121">
        <v>439312</v>
      </c>
      <c r="G31" s="121">
        <v>556498</v>
      </c>
      <c r="H31" s="122">
        <v>565255</v>
      </c>
      <c r="I31" s="122">
        <v>847880</v>
      </c>
      <c r="J31" s="123">
        <v>370999</v>
      </c>
      <c r="K31" s="123">
        <v>556498</v>
      </c>
      <c r="M31" s="67">
        <f t="shared" si="6"/>
        <v>-0.28668235786866736</v>
      </c>
      <c r="N31" s="67">
        <f t="shared" si="7"/>
        <v>-0.52359936603545743</v>
      </c>
      <c r="P31" s="67">
        <f t="shared" si="8"/>
        <v>0.15549996357941509</v>
      </c>
      <c r="Q31" s="67">
        <f t="shared" si="9"/>
        <v>0</v>
      </c>
    </row>
    <row r="32" spans="2:44" x14ac:dyDescent="0.25">
      <c r="B32" s="34" t="s">
        <v>103</v>
      </c>
      <c r="C32" s="34" t="s">
        <v>104</v>
      </c>
      <c r="D32" s="124">
        <v>2.72</v>
      </c>
      <c r="E32" s="124">
        <v>5.5</v>
      </c>
      <c r="F32" s="121">
        <v>228522</v>
      </c>
      <c r="G32" s="121">
        <v>303546</v>
      </c>
      <c r="H32" s="122">
        <v>267895</v>
      </c>
      <c r="I32" s="122">
        <v>401834</v>
      </c>
      <c r="J32" s="123">
        <v>202368</v>
      </c>
      <c r="K32" s="123">
        <v>303546</v>
      </c>
      <c r="M32" s="67">
        <f t="shared" si="6"/>
        <v>-0.17229413360639237</v>
      </c>
      <c r="N32" s="67">
        <f t="shared" si="7"/>
        <v>-0.32379935825212652</v>
      </c>
      <c r="P32" s="67">
        <f t="shared" si="8"/>
        <v>0.11444849948801428</v>
      </c>
      <c r="Q32" s="67">
        <f t="shared" si="9"/>
        <v>0</v>
      </c>
    </row>
    <row r="33" spans="6:7" x14ac:dyDescent="0.25">
      <c r="F33" s="25">
        <f>AVERAGE(F23:F32)</f>
        <v>363428.2</v>
      </c>
      <c r="G33" s="25">
        <f>AVERAGE(G23:G32)</f>
        <v>465436</v>
      </c>
    </row>
  </sheetData>
  <mergeCells count="19">
    <mergeCell ref="J21:K21"/>
    <mergeCell ref="D4:E4"/>
    <mergeCell ref="B4:B5"/>
    <mergeCell ref="C4:C5"/>
    <mergeCell ref="F4:G4"/>
    <mergeCell ref="H4:I4"/>
    <mergeCell ref="J4:K4"/>
    <mergeCell ref="B21:B22"/>
    <mergeCell ref="C21:C22"/>
    <mergeCell ref="D21:E21"/>
    <mergeCell ref="F21:G21"/>
    <mergeCell ref="H21:I21"/>
    <mergeCell ref="T27:AQ27"/>
    <mergeCell ref="AR3:AR4"/>
    <mergeCell ref="M4:N4"/>
    <mergeCell ref="P4:Q4"/>
    <mergeCell ref="M21:N21"/>
    <mergeCell ref="P21:Q21"/>
    <mergeCell ref="T3:AQ3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4"/>
  <sheetViews>
    <sheetView showGridLines="0" topLeftCell="A34" zoomScale="55" zoomScaleNormal="55" workbookViewId="0">
      <selection activeCell="E24" sqref="E24"/>
    </sheetView>
  </sheetViews>
  <sheetFormatPr defaultRowHeight="15" x14ac:dyDescent="0.25"/>
  <cols>
    <col min="3" max="4" width="10.5703125" bestFit="1" customWidth="1"/>
    <col min="5" max="6" width="14.85546875" bestFit="1" customWidth="1"/>
    <col min="7" max="11" width="14.28515625" bestFit="1" customWidth="1"/>
    <col min="12" max="14" width="15" bestFit="1" customWidth="1"/>
    <col min="15" max="15" width="14.28515625" bestFit="1" customWidth="1"/>
  </cols>
  <sheetData>
    <row r="2" spans="1:34" x14ac:dyDescent="0.25">
      <c r="F2" s="42">
        <f t="shared" ref="F2:L2" si="0">(F5-E5)/E5</f>
        <v>0.1</v>
      </c>
      <c r="G2" s="42">
        <f t="shared" si="0"/>
        <v>0.10000000000000005</v>
      </c>
      <c r="H2" s="42">
        <f t="shared" si="0"/>
        <v>0.10000000000000012</v>
      </c>
      <c r="I2" s="42">
        <f t="shared" si="0"/>
        <v>9.9999999999999964E-2</v>
      </c>
      <c r="J2" s="42">
        <f t="shared" si="0"/>
        <v>0.1</v>
      </c>
      <c r="K2" s="42">
        <f t="shared" si="0"/>
        <v>0.10000000000000005</v>
      </c>
      <c r="L2" s="42">
        <f t="shared" si="0"/>
        <v>0.10000000000000003</v>
      </c>
    </row>
    <row r="3" spans="1:34" x14ac:dyDescent="0.25">
      <c r="A3" t="s">
        <v>253</v>
      </c>
      <c r="C3" t="s">
        <v>105</v>
      </c>
      <c r="D3" t="s">
        <v>106</v>
      </c>
      <c r="E3" s="22">
        <v>2</v>
      </c>
      <c r="F3" s="22">
        <f>E3+1</f>
        <v>3</v>
      </c>
      <c r="G3" s="22">
        <f t="shared" ref="G3:M3" si="1">F3+1</f>
        <v>4</v>
      </c>
      <c r="H3" s="22">
        <f t="shared" si="1"/>
        <v>5</v>
      </c>
      <c r="I3" s="22">
        <f t="shared" si="1"/>
        <v>6</v>
      </c>
      <c r="J3" s="22">
        <f t="shared" si="1"/>
        <v>7</v>
      </c>
      <c r="K3" s="22">
        <f t="shared" si="1"/>
        <v>8</v>
      </c>
      <c r="L3" s="22">
        <f t="shared" si="1"/>
        <v>9</v>
      </c>
      <c r="M3" s="22">
        <f t="shared" si="1"/>
        <v>10</v>
      </c>
      <c r="N3" s="22">
        <v>12</v>
      </c>
      <c r="O3" s="22">
        <f>N3+1</f>
        <v>13</v>
      </c>
      <c r="P3" s="22">
        <f t="shared" ref="P3:X3" si="2">O3+1</f>
        <v>14</v>
      </c>
      <c r="Q3" s="22">
        <f t="shared" si="2"/>
        <v>15</v>
      </c>
      <c r="R3" s="22">
        <f t="shared" si="2"/>
        <v>16</v>
      </c>
      <c r="S3" s="22">
        <f t="shared" si="2"/>
        <v>17</v>
      </c>
      <c r="T3" s="22">
        <f t="shared" si="2"/>
        <v>18</v>
      </c>
      <c r="U3" s="22">
        <f t="shared" si="2"/>
        <v>19</v>
      </c>
      <c r="V3" s="22">
        <f t="shared" si="2"/>
        <v>20</v>
      </c>
      <c r="W3" s="22">
        <f t="shared" si="2"/>
        <v>21</v>
      </c>
      <c r="X3" s="22">
        <f t="shared" si="2"/>
        <v>22</v>
      </c>
      <c r="Y3" s="22">
        <v>23</v>
      </c>
      <c r="Z3" s="22">
        <f>Y3+1</f>
        <v>24</v>
      </c>
      <c r="AA3" s="22">
        <f t="shared" ref="AA3:AH3" si="3">Z3+1</f>
        <v>25</v>
      </c>
      <c r="AB3" s="22">
        <f t="shared" si="3"/>
        <v>26</v>
      </c>
      <c r="AC3" s="22">
        <f t="shared" si="3"/>
        <v>27</v>
      </c>
      <c r="AD3" s="22">
        <f t="shared" si="3"/>
        <v>28</v>
      </c>
      <c r="AE3" s="22">
        <f t="shared" si="3"/>
        <v>29</v>
      </c>
      <c r="AF3" s="22">
        <f t="shared" si="3"/>
        <v>30</v>
      </c>
      <c r="AG3" s="22">
        <f t="shared" si="3"/>
        <v>31</v>
      </c>
      <c r="AH3" s="22">
        <f t="shared" si="3"/>
        <v>32</v>
      </c>
    </row>
    <row r="4" spans="1:34" s="28" customFormat="1" x14ac:dyDescent="0.25">
      <c r="A4" s="28">
        <v>2.62</v>
      </c>
      <c r="B4" s="28">
        <v>1</v>
      </c>
      <c r="C4" s="28" t="s">
        <v>100</v>
      </c>
      <c r="D4" s="28" t="s">
        <v>101</v>
      </c>
      <c r="E4" s="47" t="s">
        <v>93</v>
      </c>
      <c r="F4" s="47" t="s">
        <v>93</v>
      </c>
      <c r="G4" s="47" t="s">
        <v>93</v>
      </c>
      <c r="H4" s="47" t="s">
        <v>93</v>
      </c>
      <c r="I4" s="47" t="s">
        <v>93</v>
      </c>
      <c r="J4" s="47" t="s">
        <v>93</v>
      </c>
      <c r="K4" s="47" t="s">
        <v>93</v>
      </c>
      <c r="L4" s="49" t="s">
        <v>93</v>
      </c>
      <c r="M4" s="47" t="s">
        <v>93</v>
      </c>
      <c r="N4" s="47" t="s">
        <v>93</v>
      </c>
      <c r="O4" s="47" t="s">
        <v>93</v>
      </c>
      <c r="P4" s="47" t="s">
        <v>93</v>
      </c>
      <c r="Q4" s="47" t="s">
        <v>93</v>
      </c>
      <c r="R4" s="47" t="s">
        <v>93</v>
      </c>
      <c r="S4" s="47" t="s">
        <v>93</v>
      </c>
      <c r="T4" s="47" t="s">
        <v>93</v>
      </c>
      <c r="U4" s="47" t="s">
        <v>93</v>
      </c>
      <c r="V4" s="47" t="s">
        <v>93</v>
      </c>
      <c r="W4" s="47" t="s">
        <v>93</v>
      </c>
      <c r="X4" s="47" t="s">
        <v>93</v>
      </c>
      <c r="Y4" s="47" t="s">
        <v>93</v>
      </c>
      <c r="Z4" s="47" t="s">
        <v>93</v>
      </c>
      <c r="AA4" s="47" t="s">
        <v>93</v>
      </c>
      <c r="AB4" s="47" t="s">
        <v>93</v>
      </c>
      <c r="AC4" s="47" t="s">
        <v>93</v>
      </c>
      <c r="AD4" s="47" t="s">
        <v>93</v>
      </c>
      <c r="AE4" s="47" t="s">
        <v>93</v>
      </c>
      <c r="AF4" s="47" t="s">
        <v>93</v>
      </c>
      <c r="AG4" s="47" t="s">
        <v>93</v>
      </c>
      <c r="AH4" s="47" t="s">
        <v>93</v>
      </c>
    </row>
    <row r="5" spans="1:34" s="28" customFormat="1" x14ac:dyDescent="0.25">
      <c r="A5" s="28">
        <f>A4+2.58</f>
        <v>5.2</v>
      </c>
      <c r="B5" s="28">
        <f>B4+1</f>
        <v>2</v>
      </c>
      <c r="C5" s="28" t="s">
        <v>100</v>
      </c>
      <c r="D5" s="28" t="s">
        <v>102</v>
      </c>
      <c r="E5" s="49">
        <f>'aspek market'!P92</f>
        <v>26040</v>
      </c>
      <c r="F5" s="49">
        <f>(E5*10%)+E5</f>
        <v>28644</v>
      </c>
      <c r="G5" s="49">
        <f t="shared" ref="G5:N5" si="4">(F5*10%)+F5</f>
        <v>31508.400000000001</v>
      </c>
      <c r="H5" s="49">
        <f t="shared" si="4"/>
        <v>34659.240000000005</v>
      </c>
      <c r="I5" s="49">
        <f t="shared" si="4"/>
        <v>38125.164000000004</v>
      </c>
      <c r="J5" s="49">
        <f t="shared" si="4"/>
        <v>41937.680400000005</v>
      </c>
      <c r="K5" s="49">
        <f t="shared" si="4"/>
        <v>46131.448440000007</v>
      </c>
      <c r="L5" s="49">
        <f t="shared" si="4"/>
        <v>50744.59328400001</v>
      </c>
      <c r="M5" s="49">
        <f t="shared" si="4"/>
        <v>55819.05261240001</v>
      </c>
      <c r="N5" s="49">
        <f t="shared" si="4"/>
        <v>61400.957873640014</v>
      </c>
      <c r="O5" s="142">
        <f>(N5*10%)+N5</f>
        <v>67541.053661004014</v>
      </c>
      <c r="P5" s="49">
        <f>(O5*10%)+O5</f>
        <v>74295.159027104412</v>
      </c>
      <c r="Q5" s="49">
        <f t="shared" ref="Q5:X5" si="5">(P5*10%)+P5</f>
        <v>81724.67492981485</v>
      </c>
      <c r="R5" s="49">
        <f t="shared" si="5"/>
        <v>89897.142422796329</v>
      </c>
      <c r="S5" s="49">
        <f t="shared" si="5"/>
        <v>98886.85666507596</v>
      </c>
      <c r="T5" s="49">
        <f t="shared" si="5"/>
        <v>108775.54233158357</v>
      </c>
      <c r="U5" s="49">
        <f t="shared" si="5"/>
        <v>119653.09656474192</v>
      </c>
      <c r="V5" s="49">
        <f t="shared" si="5"/>
        <v>131618.40622121611</v>
      </c>
      <c r="W5" s="49">
        <f t="shared" si="5"/>
        <v>144780.24684333772</v>
      </c>
      <c r="X5" s="49">
        <f t="shared" si="5"/>
        <v>159258.27152767149</v>
      </c>
      <c r="Y5" s="142">
        <f>(X5*10%)+X5</f>
        <v>175184.09868043865</v>
      </c>
      <c r="Z5" s="49">
        <f>(Y5*10%)+Y5</f>
        <v>192702.50854848252</v>
      </c>
      <c r="AA5" s="49">
        <f t="shared" ref="AA5:AH5" si="6">(Z5*10%)+Z5</f>
        <v>211972.75940333077</v>
      </c>
      <c r="AB5" s="49">
        <f t="shared" si="6"/>
        <v>233170.03534366385</v>
      </c>
      <c r="AC5" s="49">
        <f t="shared" si="6"/>
        <v>256487.03887803023</v>
      </c>
      <c r="AD5" s="49">
        <f t="shared" si="6"/>
        <v>282135.74276583327</v>
      </c>
      <c r="AE5" s="49">
        <f t="shared" si="6"/>
        <v>310349.3170424166</v>
      </c>
      <c r="AF5" s="49">
        <f t="shared" si="6"/>
        <v>341384.24874665827</v>
      </c>
      <c r="AG5" s="49">
        <f t="shared" si="6"/>
        <v>375522.67362132412</v>
      </c>
      <c r="AH5" s="49">
        <f t="shared" si="6"/>
        <v>413074.94098345656</v>
      </c>
    </row>
    <row r="6" spans="1:34" s="28" customFormat="1" x14ac:dyDescent="0.25">
      <c r="A6" s="28">
        <f>A5+2.15</f>
        <v>7.35</v>
      </c>
      <c r="B6" s="28">
        <f t="shared" ref="B6:B23" si="7">B5+1</f>
        <v>3</v>
      </c>
      <c r="C6" s="28" t="s">
        <v>100</v>
      </c>
      <c r="D6" s="28" t="s">
        <v>103</v>
      </c>
      <c r="E6" s="49">
        <f>'aspek market'!Q92</f>
        <v>67647</v>
      </c>
      <c r="F6" s="49">
        <f t="shared" ref="F6:N23" si="8">(E6*10%)+E6</f>
        <v>74411.7</v>
      </c>
      <c r="G6" s="49">
        <f t="shared" si="8"/>
        <v>81852.87</v>
      </c>
      <c r="H6" s="49">
        <f t="shared" si="8"/>
        <v>90038.156999999992</v>
      </c>
      <c r="I6" s="49">
        <f t="shared" si="8"/>
        <v>99041.972699999984</v>
      </c>
      <c r="J6" s="49">
        <f t="shared" si="8"/>
        <v>108946.16996999999</v>
      </c>
      <c r="K6" s="49">
        <f t="shared" si="8"/>
        <v>119840.78696699999</v>
      </c>
      <c r="L6" s="49">
        <f t="shared" si="8"/>
        <v>131824.86566369998</v>
      </c>
      <c r="M6" s="49">
        <f t="shared" si="8"/>
        <v>145007.35223006998</v>
      </c>
      <c r="N6" s="49">
        <f t="shared" si="8"/>
        <v>159508.08745307699</v>
      </c>
      <c r="O6" s="49">
        <f t="shared" ref="O6:O23" si="9">(N6*15%)+N6</f>
        <v>183434.30057103853</v>
      </c>
      <c r="P6" s="49">
        <f t="shared" ref="P6:X23" si="10">(O6*10%)+O6</f>
        <v>201777.7306281424</v>
      </c>
      <c r="Q6" s="49">
        <f t="shared" si="10"/>
        <v>221955.50369095663</v>
      </c>
      <c r="R6" s="49">
        <f t="shared" si="10"/>
        <v>244151.05406005229</v>
      </c>
      <c r="S6" s="49">
        <f t="shared" si="10"/>
        <v>268566.15946605755</v>
      </c>
      <c r="T6" s="49">
        <f t="shared" si="10"/>
        <v>295422.77541266329</v>
      </c>
      <c r="U6" s="49">
        <f t="shared" si="10"/>
        <v>324965.05295392964</v>
      </c>
      <c r="V6" s="49">
        <f t="shared" si="10"/>
        <v>357461.55824932258</v>
      </c>
      <c r="W6" s="49">
        <f t="shared" si="10"/>
        <v>393207.71407425485</v>
      </c>
      <c r="X6" s="49">
        <f t="shared" si="10"/>
        <v>432528.48548168037</v>
      </c>
      <c r="Y6" s="142">
        <f t="shared" ref="Y6:Y23" si="11">(X6*10%)+X6</f>
        <v>475781.3340298484</v>
      </c>
      <c r="Z6" s="49">
        <f t="shared" ref="Z6:AH23" si="12">(Y6*10%)+Y6</f>
        <v>523359.46743283322</v>
      </c>
      <c r="AA6" s="49">
        <f t="shared" si="12"/>
        <v>575695.41417611658</v>
      </c>
      <c r="AB6" s="49">
        <f t="shared" si="12"/>
        <v>633264.95559372823</v>
      </c>
      <c r="AC6" s="49">
        <f t="shared" si="12"/>
        <v>696591.45115310105</v>
      </c>
      <c r="AD6" s="49">
        <f t="shared" si="12"/>
        <v>766250.59626841114</v>
      </c>
      <c r="AE6" s="49">
        <f t="shared" si="12"/>
        <v>842875.65589525225</v>
      </c>
      <c r="AF6" s="49">
        <f t="shared" si="12"/>
        <v>927163.22148477752</v>
      </c>
      <c r="AG6" s="49">
        <f t="shared" si="12"/>
        <v>1019879.5436332553</v>
      </c>
      <c r="AH6" s="49">
        <f t="shared" si="12"/>
        <v>1121867.4979965808</v>
      </c>
    </row>
    <row r="7" spans="1:34" s="28" customFormat="1" x14ac:dyDescent="0.25">
      <c r="A7" s="28">
        <f>A6+2.72</f>
        <v>10.07</v>
      </c>
      <c r="B7" s="28">
        <f t="shared" si="7"/>
        <v>4</v>
      </c>
      <c r="C7" s="28" t="s">
        <v>100</v>
      </c>
      <c r="D7" s="45" t="s">
        <v>104</v>
      </c>
      <c r="E7" s="49">
        <f>'aspek market'!R92</f>
        <v>67203</v>
      </c>
      <c r="F7" s="49">
        <f t="shared" si="8"/>
        <v>73923.3</v>
      </c>
      <c r="G7" s="49">
        <f t="shared" si="8"/>
        <v>81315.63</v>
      </c>
      <c r="H7" s="49">
        <f t="shared" si="8"/>
        <v>89447.192999999999</v>
      </c>
      <c r="I7" s="49">
        <f t="shared" si="8"/>
        <v>98391.912299999996</v>
      </c>
      <c r="J7" s="49">
        <f t="shared" si="8"/>
        <v>108231.10352999999</v>
      </c>
      <c r="K7" s="49">
        <f t="shared" si="8"/>
        <v>119054.21388299999</v>
      </c>
      <c r="L7" s="49">
        <f t="shared" si="8"/>
        <v>130959.63527129999</v>
      </c>
      <c r="M7" s="49">
        <f t="shared" si="8"/>
        <v>144055.59879843</v>
      </c>
      <c r="N7" s="49">
        <f t="shared" si="8"/>
        <v>158461.158678273</v>
      </c>
      <c r="O7" s="49">
        <f t="shared" si="9"/>
        <v>182230.33248001395</v>
      </c>
      <c r="P7" s="49">
        <f t="shared" si="10"/>
        <v>200453.36572801534</v>
      </c>
      <c r="Q7" s="49">
        <f t="shared" si="10"/>
        <v>220498.70230081689</v>
      </c>
      <c r="R7" s="49">
        <f t="shared" si="10"/>
        <v>242548.57253089859</v>
      </c>
      <c r="S7" s="49">
        <f t="shared" si="10"/>
        <v>266803.42978398845</v>
      </c>
      <c r="T7" s="49">
        <f t="shared" si="10"/>
        <v>293483.77276238729</v>
      </c>
      <c r="U7" s="49">
        <f t="shared" si="10"/>
        <v>322832.15003862604</v>
      </c>
      <c r="V7" s="49">
        <f t="shared" si="10"/>
        <v>355115.36504248867</v>
      </c>
      <c r="W7" s="49">
        <f t="shared" si="10"/>
        <v>390626.90154673753</v>
      </c>
      <c r="X7" s="49">
        <f t="shared" si="10"/>
        <v>429689.59170141129</v>
      </c>
      <c r="Y7" s="142">
        <f t="shared" si="11"/>
        <v>472658.55087155243</v>
      </c>
      <c r="Z7" s="49">
        <f t="shared" si="12"/>
        <v>519924.40595870768</v>
      </c>
      <c r="AA7" s="49">
        <f t="shared" si="12"/>
        <v>571916.8465545784</v>
      </c>
      <c r="AB7" s="49">
        <f t="shared" si="12"/>
        <v>629108.53121003625</v>
      </c>
      <c r="AC7" s="49">
        <f t="shared" si="12"/>
        <v>692019.38433103985</v>
      </c>
      <c r="AD7" s="49">
        <f t="shared" si="12"/>
        <v>761221.32276414381</v>
      </c>
      <c r="AE7" s="49">
        <f t="shared" si="12"/>
        <v>837343.45504055824</v>
      </c>
      <c r="AF7" s="49">
        <f t="shared" si="12"/>
        <v>921077.80054461409</v>
      </c>
      <c r="AG7" s="49">
        <f t="shared" si="12"/>
        <v>1013185.5805990755</v>
      </c>
      <c r="AH7" s="49">
        <f t="shared" si="12"/>
        <v>1114504.1386589832</v>
      </c>
    </row>
    <row r="8" spans="1:34" s="28" customFormat="1" x14ac:dyDescent="0.25">
      <c r="A8" s="28">
        <f>A4</f>
        <v>2.62</v>
      </c>
      <c r="B8" s="28">
        <f t="shared" si="7"/>
        <v>5</v>
      </c>
      <c r="C8" s="28" t="s">
        <v>101</v>
      </c>
      <c r="D8" s="45" t="s">
        <v>100</v>
      </c>
      <c r="E8" s="49" t="s">
        <v>93</v>
      </c>
      <c r="F8" s="49"/>
      <c r="G8" s="49"/>
      <c r="H8" s="49"/>
      <c r="I8" s="49"/>
      <c r="J8" s="49"/>
      <c r="K8" s="49"/>
      <c r="L8" s="49"/>
      <c r="M8" s="49"/>
      <c r="N8" s="49"/>
      <c r="O8" s="49">
        <f t="shared" si="9"/>
        <v>0</v>
      </c>
      <c r="P8" s="49">
        <f t="shared" si="10"/>
        <v>0</v>
      </c>
      <c r="Q8" s="49">
        <f t="shared" si="10"/>
        <v>0</v>
      </c>
      <c r="R8" s="49">
        <f t="shared" si="10"/>
        <v>0</v>
      </c>
      <c r="S8" s="49">
        <f t="shared" si="10"/>
        <v>0</v>
      </c>
      <c r="T8" s="49">
        <f t="shared" si="10"/>
        <v>0</v>
      </c>
      <c r="U8" s="49">
        <f t="shared" si="10"/>
        <v>0</v>
      </c>
      <c r="V8" s="49">
        <f t="shared" si="10"/>
        <v>0</v>
      </c>
      <c r="W8" s="49">
        <f t="shared" si="10"/>
        <v>0</v>
      </c>
      <c r="X8" s="49">
        <f t="shared" si="10"/>
        <v>0</v>
      </c>
      <c r="Y8" s="142">
        <f t="shared" si="11"/>
        <v>0</v>
      </c>
      <c r="Z8" s="49">
        <f t="shared" si="12"/>
        <v>0</v>
      </c>
      <c r="AA8" s="49">
        <f t="shared" si="12"/>
        <v>0</v>
      </c>
      <c r="AB8" s="49">
        <f t="shared" si="12"/>
        <v>0</v>
      </c>
      <c r="AC8" s="49">
        <f t="shared" si="12"/>
        <v>0</v>
      </c>
      <c r="AD8" s="49">
        <f t="shared" si="12"/>
        <v>0</v>
      </c>
      <c r="AE8" s="49">
        <f t="shared" si="12"/>
        <v>0</v>
      </c>
      <c r="AF8" s="49">
        <f t="shared" si="12"/>
        <v>0</v>
      </c>
      <c r="AG8" s="49">
        <f t="shared" si="12"/>
        <v>0</v>
      </c>
      <c r="AH8" s="49">
        <f t="shared" si="12"/>
        <v>0</v>
      </c>
    </row>
    <row r="9" spans="1:34" s="28" customFormat="1" x14ac:dyDescent="0.25">
      <c r="A9" s="28">
        <v>2.58</v>
      </c>
      <c r="B9" s="28">
        <f t="shared" si="7"/>
        <v>6</v>
      </c>
      <c r="C9" s="28" t="s">
        <v>101</v>
      </c>
      <c r="D9" s="45" t="s">
        <v>102</v>
      </c>
      <c r="E9" s="49">
        <f>'aspek market'!P93</f>
        <v>12117</v>
      </c>
      <c r="F9" s="49">
        <f t="shared" si="8"/>
        <v>13328.7</v>
      </c>
      <c r="G9" s="49">
        <f t="shared" si="8"/>
        <v>14661.570000000002</v>
      </c>
      <c r="H9" s="49">
        <f t="shared" si="8"/>
        <v>16127.727000000003</v>
      </c>
      <c r="I9" s="49">
        <f t="shared" si="8"/>
        <v>17740.499700000004</v>
      </c>
      <c r="J9" s="49">
        <f t="shared" si="8"/>
        <v>19514.549670000004</v>
      </c>
      <c r="K9" s="49">
        <f t="shared" si="8"/>
        <v>21466.004637000005</v>
      </c>
      <c r="L9" s="49">
        <f t="shared" si="8"/>
        <v>23612.605100700006</v>
      </c>
      <c r="M9" s="49">
        <f t="shared" si="8"/>
        <v>25973.865610770008</v>
      </c>
      <c r="N9" s="49">
        <f t="shared" si="8"/>
        <v>28571.252171847009</v>
      </c>
      <c r="O9" s="49">
        <f t="shared" si="9"/>
        <v>32856.93999762406</v>
      </c>
      <c r="P9" s="49">
        <f t="shared" si="10"/>
        <v>36142.633997386467</v>
      </c>
      <c r="Q9" s="49">
        <f t="shared" si="10"/>
        <v>39756.897397125111</v>
      </c>
      <c r="R9" s="49">
        <f t="shared" si="10"/>
        <v>43732.587136837625</v>
      </c>
      <c r="S9" s="49">
        <f t="shared" si="10"/>
        <v>48105.845850521386</v>
      </c>
      <c r="T9" s="49">
        <f t="shared" si="10"/>
        <v>52916.430435573522</v>
      </c>
      <c r="U9" s="49">
        <f t="shared" si="10"/>
        <v>58208.073479130879</v>
      </c>
      <c r="V9" s="49">
        <f t="shared" si="10"/>
        <v>64028.880827043969</v>
      </c>
      <c r="W9" s="49">
        <f t="shared" si="10"/>
        <v>70431.768909748367</v>
      </c>
      <c r="X9" s="49">
        <f t="shared" si="10"/>
        <v>77474.945800723202</v>
      </c>
      <c r="Y9" s="142">
        <f t="shared" si="11"/>
        <v>85222.440380795524</v>
      </c>
      <c r="Z9" s="49">
        <f t="shared" si="12"/>
        <v>93744.684418875084</v>
      </c>
      <c r="AA9" s="49">
        <f t="shared" si="12"/>
        <v>103119.1528607626</v>
      </c>
      <c r="AB9" s="49">
        <f t="shared" si="12"/>
        <v>113431.06814683885</v>
      </c>
      <c r="AC9" s="49">
        <f t="shared" si="12"/>
        <v>124774.17496152273</v>
      </c>
      <c r="AD9" s="49">
        <f t="shared" si="12"/>
        <v>137251.592457675</v>
      </c>
      <c r="AE9" s="49">
        <f t="shared" si="12"/>
        <v>150976.75170344248</v>
      </c>
      <c r="AF9" s="49">
        <f t="shared" si="12"/>
        <v>166074.42687378672</v>
      </c>
      <c r="AG9" s="49">
        <f t="shared" si="12"/>
        <v>182681.8695611654</v>
      </c>
      <c r="AH9" s="49">
        <f t="shared" si="12"/>
        <v>200950.05651728195</v>
      </c>
    </row>
    <row r="10" spans="1:34" s="28" customFormat="1" x14ac:dyDescent="0.25">
      <c r="A10" s="28">
        <f>A9+2.15</f>
        <v>4.7300000000000004</v>
      </c>
      <c r="B10" s="28">
        <f t="shared" si="7"/>
        <v>7</v>
      </c>
      <c r="C10" s="28" t="s">
        <v>101</v>
      </c>
      <c r="D10" s="45" t="s">
        <v>103</v>
      </c>
      <c r="E10" s="49">
        <f>'aspek market'!Q93</f>
        <v>30065</v>
      </c>
      <c r="F10" s="49">
        <f t="shared" si="8"/>
        <v>33071.5</v>
      </c>
      <c r="G10" s="49">
        <f t="shared" si="8"/>
        <v>36378.65</v>
      </c>
      <c r="H10" s="49">
        <f t="shared" si="8"/>
        <v>40016.514999999999</v>
      </c>
      <c r="I10" s="49">
        <f t="shared" si="8"/>
        <v>44018.166499999999</v>
      </c>
      <c r="J10" s="49">
        <f t="shared" si="8"/>
        <v>48419.98315</v>
      </c>
      <c r="K10" s="49">
        <f t="shared" si="8"/>
        <v>53261.981464999997</v>
      </c>
      <c r="L10" s="49">
        <f t="shared" si="8"/>
        <v>58588.179611499996</v>
      </c>
      <c r="M10" s="49">
        <f t="shared" si="8"/>
        <v>64446.997572649998</v>
      </c>
      <c r="N10" s="49">
        <f t="shared" si="8"/>
        <v>70891.697329914998</v>
      </c>
      <c r="O10" s="49">
        <f t="shared" si="9"/>
        <v>81525.451929402247</v>
      </c>
      <c r="P10" s="49">
        <f t="shared" si="10"/>
        <v>89677.997122342465</v>
      </c>
      <c r="Q10" s="49">
        <f t="shared" si="10"/>
        <v>98645.796834576715</v>
      </c>
      <c r="R10" s="49">
        <f t="shared" si="10"/>
        <v>108510.37651803439</v>
      </c>
      <c r="S10" s="49">
        <f t="shared" si="10"/>
        <v>119361.41416983784</v>
      </c>
      <c r="T10" s="49">
        <f t="shared" si="10"/>
        <v>131297.55558682163</v>
      </c>
      <c r="U10" s="49">
        <f t="shared" si="10"/>
        <v>144427.3111455038</v>
      </c>
      <c r="V10" s="49">
        <f t="shared" si="10"/>
        <v>158870.04226005418</v>
      </c>
      <c r="W10" s="49">
        <f t="shared" si="10"/>
        <v>174757.04648605961</v>
      </c>
      <c r="X10" s="49">
        <f t="shared" si="10"/>
        <v>192232.75113466557</v>
      </c>
      <c r="Y10" s="142">
        <f t="shared" si="11"/>
        <v>211456.02624813211</v>
      </c>
      <c r="Z10" s="49">
        <f t="shared" si="12"/>
        <v>232601.62887294532</v>
      </c>
      <c r="AA10" s="49">
        <f t="shared" si="12"/>
        <v>255861.79176023987</v>
      </c>
      <c r="AB10" s="49">
        <f t="shared" si="12"/>
        <v>281447.97093626385</v>
      </c>
      <c r="AC10" s="49">
        <f t="shared" si="12"/>
        <v>309592.76802989026</v>
      </c>
      <c r="AD10" s="49">
        <f t="shared" si="12"/>
        <v>340552.04483287927</v>
      </c>
      <c r="AE10" s="49">
        <f t="shared" si="12"/>
        <v>374607.2493161672</v>
      </c>
      <c r="AF10" s="49">
        <f t="shared" si="12"/>
        <v>412067.97424778395</v>
      </c>
      <c r="AG10" s="49">
        <f t="shared" si="12"/>
        <v>453274.77167256235</v>
      </c>
      <c r="AH10" s="49">
        <f t="shared" si="12"/>
        <v>498602.24883981858</v>
      </c>
    </row>
    <row r="11" spans="1:34" s="28" customFormat="1" x14ac:dyDescent="0.25">
      <c r="A11" s="28">
        <f>A10+2.72</f>
        <v>7.4500000000000011</v>
      </c>
      <c r="B11" s="28">
        <f t="shared" si="7"/>
        <v>8</v>
      </c>
      <c r="C11" s="28" t="s">
        <v>101</v>
      </c>
      <c r="D11" s="45" t="s">
        <v>104</v>
      </c>
      <c r="E11" s="49">
        <f>'aspek market'!R93</f>
        <v>20644</v>
      </c>
      <c r="F11" s="49">
        <f t="shared" si="8"/>
        <v>22708.400000000001</v>
      </c>
      <c r="G11" s="49">
        <f t="shared" si="8"/>
        <v>24979.24</v>
      </c>
      <c r="H11" s="49">
        <f t="shared" si="8"/>
        <v>27477.164000000001</v>
      </c>
      <c r="I11" s="49">
        <f t="shared" si="8"/>
        <v>30224.880400000002</v>
      </c>
      <c r="J11" s="49">
        <f t="shared" si="8"/>
        <v>33247.368440000006</v>
      </c>
      <c r="K11" s="49">
        <f t="shared" si="8"/>
        <v>36572.105284000005</v>
      </c>
      <c r="L11" s="49">
        <f t="shared" si="8"/>
        <v>40229.315812400004</v>
      </c>
      <c r="M11" s="49">
        <f t="shared" si="8"/>
        <v>44252.247393640006</v>
      </c>
      <c r="N11" s="49">
        <f t="shared" si="8"/>
        <v>48677.472133004005</v>
      </c>
      <c r="O11" s="49">
        <f t="shared" si="9"/>
        <v>55979.092952954605</v>
      </c>
      <c r="P11" s="49">
        <f t="shared" si="10"/>
        <v>61577.002248250064</v>
      </c>
      <c r="Q11" s="49">
        <f t="shared" si="10"/>
        <v>67734.702473075071</v>
      </c>
      <c r="R11" s="49">
        <f t="shared" si="10"/>
        <v>74508.172720382572</v>
      </c>
      <c r="S11" s="49">
        <f t="shared" si="10"/>
        <v>81958.989992420829</v>
      </c>
      <c r="T11" s="49">
        <f t="shared" si="10"/>
        <v>90154.888991662912</v>
      </c>
      <c r="U11" s="49">
        <f t="shared" si="10"/>
        <v>99170.377890829201</v>
      </c>
      <c r="V11" s="49">
        <f t="shared" si="10"/>
        <v>109087.41567991213</v>
      </c>
      <c r="W11" s="49">
        <f t="shared" si="10"/>
        <v>119996.15724790333</v>
      </c>
      <c r="X11" s="49">
        <f t="shared" si="10"/>
        <v>131995.77297269367</v>
      </c>
      <c r="Y11" s="142">
        <f t="shared" si="11"/>
        <v>145195.35026996303</v>
      </c>
      <c r="Z11" s="49">
        <f t="shared" si="12"/>
        <v>159714.88529695934</v>
      </c>
      <c r="AA11" s="49">
        <f t="shared" si="12"/>
        <v>175686.37382665527</v>
      </c>
      <c r="AB11" s="49">
        <f t="shared" si="12"/>
        <v>193255.0112093208</v>
      </c>
      <c r="AC11" s="49">
        <f t="shared" si="12"/>
        <v>212580.51233025288</v>
      </c>
      <c r="AD11" s="49">
        <f t="shared" si="12"/>
        <v>233838.56356327818</v>
      </c>
      <c r="AE11" s="49">
        <f t="shared" si="12"/>
        <v>257222.41991960601</v>
      </c>
      <c r="AF11" s="49">
        <f t="shared" si="12"/>
        <v>282944.66191156663</v>
      </c>
      <c r="AG11" s="49">
        <f t="shared" si="12"/>
        <v>311239.12810272328</v>
      </c>
      <c r="AH11" s="49">
        <f t="shared" si="12"/>
        <v>342363.04091299558</v>
      </c>
    </row>
    <row r="12" spans="1:34" s="28" customFormat="1" x14ac:dyDescent="0.25">
      <c r="A12" s="28">
        <f>A5</f>
        <v>5.2</v>
      </c>
      <c r="B12" s="28">
        <f t="shared" si="7"/>
        <v>9</v>
      </c>
      <c r="C12" s="28" t="s">
        <v>102</v>
      </c>
      <c r="D12" s="45" t="s">
        <v>100</v>
      </c>
      <c r="E12" s="49">
        <f>'aspek market'!N94</f>
        <v>26804</v>
      </c>
      <c r="F12" s="49">
        <f t="shared" si="8"/>
        <v>29484.400000000001</v>
      </c>
      <c r="G12" s="49">
        <f t="shared" si="8"/>
        <v>32432.840000000004</v>
      </c>
      <c r="H12" s="49">
        <f t="shared" si="8"/>
        <v>35676.124000000003</v>
      </c>
      <c r="I12" s="49">
        <f t="shared" si="8"/>
        <v>39243.736400000002</v>
      </c>
      <c r="J12" s="49">
        <f t="shared" si="8"/>
        <v>43168.11004</v>
      </c>
      <c r="K12" s="49">
        <f t="shared" si="8"/>
        <v>47484.921044000002</v>
      </c>
      <c r="L12" s="49">
        <f t="shared" si="8"/>
        <v>52233.413148400003</v>
      </c>
      <c r="M12" s="49">
        <f t="shared" si="8"/>
        <v>57456.754463240002</v>
      </c>
      <c r="N12" s="49">
        <f t="shared" si="8"/>
        <v>63202.429909564002</v>
      </c>
      <c r="O12" s="49">
        <f t="shared" si="9"/>
        <v>72682.794395998601</v>
      </c>
      <c r="P12" s="49">
        <f t="shared" si="10"/>
        <v>79951.073835598465</v>
      </c>
      <c r="Q12" s="49">
        <f t="shared" si="10"/>
        <v>87946.181219158316</v>
      </c>
      <c r="R12" s="49">
        <f t="shared" si="10"/>
        <v>96740.799341074147</v>
      </c>
      <c r="S12" s="49">
        <f t="shared" si="10"/>
        <v>106414.87927518156</v>
      </c>
      <c r="T12" s="49">
        <f t="shared" si="10"/>
        <v>117056.36720269972</v>
      </c>
      <c r="U12" s="49">
        <f t="shared" si="10"/>
        <v>128762.0039229697</v>
      </c>
      <c r="V12" s="49">
        <f t="shared" si="10"/>
        <v>141638.20431526666</v>
      </c>
      <c r="W12" s="49">
        <f t="shared" si="10"/>
        <v>155802.02474679332</v>
      </c>
      <c r="X12" s="49">
        <f t="shared" si="10"/>
        <v>171382.22722147265</v>
      </c>
      <c r="Y12" s="142">
        <f t="shared" si="11"/>
        <v>188520.44994361993</v>
      </c>
      <c r="Z12" s="49">
        <f t="shared" si="12"/>
        <v>207372.49493798192</v>
      </c>
      <c r="AA12" s="49">
        <f t="shared" si="12"/>
        <v>228109.7444317801</v>
      </c>
      <c r="AB12" s="49">
        <f t="shared" si="12"/>
        <v>250920.71887495811</v>
      </c>
      <c r="AC12" s="49">
        <f t="shared" si="12"/>
        <v>276012.79076245392</v>
      </c>
      <c r="AD12" s="49">
        <f t="shared" si="12"/>
        <v>303614.0698386993</v>
      </c>
      <c r="AE12" s="49">
        <f t="shared" si="12"/>
        <v>333975.47682256921</v>
      </c>
      <c r="AF12" s="49">
        <f t="shared" si="12"/>
        <v>367373.02450482611</v>
      </c>
      <c r="AG12" s="49">
        <f t="shared" si="12"/>
        <v>404110.32695530873</v>
      </c>
      <c r="AH12" s="49">
        <f t="shared" si="12"/>
        <v>444521.35965083959</v>
      </c>
    </row>
    <row r="13" spans="1:34" s="28" customFormat="1" x14ac:dyDescent="0.25">
      <c r="A13" s="28">
        <f>A9</f>
        <v>2.58</v>
      </c>
      <c r="B13" s="28">
        <f t="shared" si="7"/>
        <v>10</v>
      </c>
      <c r="C13" s="28" t="s">
        <v>102</v>
      </c>
      <c r="D13" s="45" t="s">
        <v>101</v>
      </c>
      <c r="E13" s="49">
        <f>'aspek market'!O94</f>
        <v>12534</v>
      </c>
      <c r="F13" s="49">
        <f t="shared" si="8"/>
        <v>13787.4</v>
      </c>
      <c r="G13" s="49">
        <f t="shared" si="8"/>
        <v>15166.14</v>
      </c>
      <c r="H13" s="49">
        <f t="shared" si="8"/>
        <v>16682.754000000001</v>
      </c>
      <c r="I13" s="49">
        <f t="shared" si="8"/>
        <v>18351.029399999999</v>
      </c>
      <c r="J13" s="49">
        <f t="shared" si="8"/>
        <v>20186.13234</v>
      </c>
      <c r="K13" s="49">
        <f t="shared" si="8"/>
        <v>22204.745574</v>
      </c>
      <c r="L13" s="49">
        <f t="shared" si="8"/>
        <v>24425.220131400001</v>
      </c>
      <c r="M13" s="49">
        <f t="shared" si="8"/>
        <v>26867.742144540003</v>
      </c>
      <c r="N13" s="49">
        <f t="shared" si="8"/>
        <v>29554.516358994006</v>
      </c>
      <c r="O13" s="49">
        <f t="shared" si="9"/>
        <v>33987.693812843107</v>
      </c>
      <c r="P13" s="49">
        <f t="shared" si="10"/>
        <v>37386.46319412742</v>
      </c>
      <c r="Q13" s="49">
        <f t="shared" si="10"/>
        <v>41125.109513540163</v>
      </c>
      <c r="R13" s="49">
        <f t="shared" si="10"/>
        <v>45237.620464894178</v>
      </c>
      <c r="S13" s="49">
        <f t="shared" si="10"/>
        <v>49761.382511383599</v>
      </c>
      <c r="T13" s="49">
        <f t="shared" si="10"/>
        <v>54737.520762521963</v>
      </c>
      <c r="U13" s="49">
        <f t="shared" si="10"/>
        <v>60211.272838774159</v>
      </c>
      <c r="V13" s="49">
        <f t="shared" si="10"/>
        <v>66232.400122651568</v>
      </c>
      <c r="W13" s="49">
        <f t="shared" si="10"/>
        <v>72855.640134916728</v>
      </c>
      <c r="X13" s="49">
        <f t="shared" si="10"/>
        <v>80141.204148408404</v>
      </c>
      <c r="Y13" s="142">
        <f t="shared" si="11"/>
        <v>88155.324563249247</v>
      </c>
      <c r="Z13" s="49">
        <f t="shared" si="12"/>
        <v>96970.857019574178</v>
      </c>
      <c r="AA13" s="49">
        <f t="shared" si="12"/>
        <v>106667.9427215316</v>
      </c>
      <c r="AB13" s="49">
        <f t="shared" si="12"/>
        <v>117334.73699368475</v>
      </c>
      <c r="AC13" s="49">
        <f t="shared" si="12"/>
        <v>129068.21069305323</v>
      </c>
      <c r="AD13" s="49">
        <f t="shared" si="12"/>
        <v>141975.03176235856</v>
      </c>
      <c r="AE13" s="49">
        <f t="shared" si="12"/>
        <v>156172.53493859441</v>
      </c>
      <c r="AF13" s="49">
        <f t="shared" si="12"/>
        <v>171789.78843245385</v>
      </c>
      <c r="AG13" s="49">
        <f t="shared" si="12"/>
        <v>188968.76727569924</v>
      </c>
      <c r="AH13" s="49">
        <f t="shared" si="12"/>
        <v>207865.64400326918</v>
      </c>
    </row>
    <row r="14" spans="1:34" s="28" customFormat="1" x14ac:dyDescent="0.25">
      <c r="A14" s="28">
        <v>2.15</v>
      </c>
      <c r="B14" s="28">
        <f t="shared" si="7"/>
        <v>11</v>
      </c>
      <c r="C14" s="28" t="s">
        <v>102</v>
      </c>
      <c r="D14" s="45" t="s">
        <v>103</v>
      </c>
      <c r="E14" s="49" t="s">
        <v>93</v>
      </c>
      <c r="F14" s="49"/>
      <c r="G14" s="49"/>
      <c r="H14" s="49"/>
      <c r="I14" s="49"/>
      <c r="J14" s="49"/>
      <c r="K14" s="49"/>
      <c r="L14" s="49"/>
      <c r="M14" s="49"/>
      <c r="N14" s="49"/>
      <c r="O14" s="49">
        <f t="shared" si="9"/>
        <v>0</v>
      </c>
      <c r="P14" s="49">
        <f t="shared" si="10"/>
        <v>0</v>
      </c>
      <c r="Q14" s="49">
        <f t="shared" si="10"/>
        <v>0</v>
      </c>
      <c r="R14" s="49">
        <f t="shared" si="10"/>
        <v>0</v>
      </c>
      <c r="S14" s="49">
        <f t="shared" si="10"/>
        <v>0</v>
      </c>
      <c r="T14" s="49">
        <f t="shared" si="10"/>
        <v>0</v>
      </c>
      <c r="U14" s="49">
        <f t="shared" si="10"/>
        <v>0</v>
      </c>
      <c r="V14" s="49">
        <f t="shared" si="10"/>
        <v>0</v>
      </c>
      <c r="W14" s="49">
        <f t="shared" si="10"/>
        <v>0</v>
      </c>
      <c r="X14" s="49">
        <f t="shared" si="10"/>
        <v>0</v>
      </c>
      <c r="Y14" s="142">
        <f t="shared" si="11"/>
        <v>0</v>
      </c>
      <c r="Z14" s="49">
        <f t="shared" si="12"/>
        <v>0</v>
      </c>
      <c r="AA14" s="49">
        <f t="shared" si="12"/>
        <v>0</v>
      </c>
      <c r="AB14" s="49">
        <f t="shared" si="12"/>
        <v>0</v>
      </c>
      <c r="AC14" s="49">
        <f t="shared" si="12"/>
        <v>0</v>
      </c>
      <c r="AD14" s="49">
        <f t="shared" si="12"/>
        <v>0</v>
      </c>
      <c r="AE14" s="49">
        <f t="shared" si="12"/>
        <v>0</v>
      </c>
      <c r="AF14" s="49">
        <f t="shared" si="12"/>
        <v>0</v>
      </c>
      <c r="AG14" s="49">
        <f t="shared" si="12"/>
        <v>0</v>
      </c>
      <c r="AH14" s="49">
        <f t="shared" si="12"/>
        <v>0</v>
      </c>
    </row>
    <row r="15" spans="1:34" s="28" customFormat="1" x14ac:dyDescent="0.25">
      <c r="A15" s="28">
        <f>A14+2.72</f>
        <v>4.87</v>
      </c>
      <c r="B15" s="28">
        <f t="shared" si="7"/>
        <v>12</v>
      </c>
      <c r="C15" s="28" t="s">
        <v>102</v>
      </c>
      <c r="D15" s="45" t="s">
        <v>104</v>
      </c>
      <c r="E15" s="49">
        <f>'aspek market'!R94</f>
        <v>17624</v>
      </c>
      <c r="F15" s="49">
        <f t="shared" si="8"/>
        <v>19386.400000000001</v>
      </c>
      <c r="G15" s="49">
        <f t="shared" si="8"/>
        <v>21325.040000000001</v>
      </c>
      <c r="H15" s="49">
        <f t="shared" si="8"/>
        <v>23457.544000000002</v>
      </c>
      <c r="I15" s="49">
        <f t="shared" si="8"/>
        <v>25803.298400000003</v>
      </c>
      <c r="J15" s="49">
        <f t="shared" si="8"/>
        <v>28383.628240000005</v>
      </c>
      <c r="K15" s="49">
        <f t="shared" si="8"/>
        <v>31221.991064000005</v>
      </c>
      <c r="L15" s="49">
        <f t="shared" si="8"/>
        <v>34344.190170400005</v>
      </c>
      <c r="M15" s="49">
        <f t="shared" si="8"/>
        <v>37778.609187440008</v>
      </c>
      <c r="N15" s="49">
        <f t="shared" si="8"/>
        <v>41556.47010618401</v>
      </c>
      <c r="O15" s="49">
        <f t="shared" si="9"/>
        <v>47789.940622111608</v>
      </c>
      <c r="P15" s="49">
        <f t="shared" si="10"/>
        <v>52568.934684322769</v>
      </c>
      <c r="Q15" s="49">
        <f t="shared" si="10"/>
        <v>57825.828152755043</v>
      </c>
      <c r="R15" s="49">
        <f t="shared" si="10"/>
        <v>63608.410968030548</v>
      </c>
      <c r="S15" s="49">
        <f t="shared" si="10"/>
        <v>69969.252064833607</v>
      </c>
      <c r="T15" s="49">
        <f t="shared" si="10"/>
        <v>76966.177271316963</v>
      </c>
      <c r="U15" s="49">
        <f t="shared" si="10"/>
        <v>84662.794998448662</v>
      </c>
      <c r="V15" s="49">
        <f t="shared" si="10"/>
        <v>93129.074498293528</v>
      </c>
      <c r="W15" s="49">
        <f t="shared" si="10"/>
        <v>102441.98194812288</v>
      </c>
      <c r="X15" s="49">
        <f t="shared" si="10"/>
        <v>112686.18014293516</v>
      </c>
      <c r="Y15" s="142">
        <f t="shared" si="11"/>
        <v>123954.79815722868</v>
      </c>
      <c r="Z15" s="49">
        <f t="shared" si="12"/>
        <v>136350.27797295156</v>
      </c>
      <c r="AA15" s="49">
        <f t="shared" si="12"/>
        <v>149985.30577024672</v>
      </c>
      <c r="AB15" s="49">
        <f t="shared" si="12"/>
        <v>164983.8363472714</v>
      </c>
      <c r="AC15" s="49">
        <f t="shared" si="12"/>
        <v>181482.21998199853</v>
      </c>
      <c r="AD15" s="49">
        <f t="shared" si="12"/>
        <v>199630.44198019837</v>
      </c>
      <c r="AE15" s="49">
        <f t="shared" si="12"/>
        <v>219593.48617821821</v>
      </c>
      <c r="AF15" s="49">
        <f t="shared" si="12"/>
        <v>241552.83479604003</v>
      </c>
      <c r="AG15" s="49">
        <f t="shared" si="12"/>
        <v>265708.11827564402</v>
      </c>
      <c r="AH15" s="49">
        <f t="shared" si="12"/>
        <v>292278.9301032084</v>
      </c>
    </row>
    <row r="16" spans="1:34" s="28" customFormat="1" x14ac:dyDescent="0.25">
      <c r="A16" s="28">
        <f>A6</f>
        <v>7.35</v>
      </c>
      <c r="B16" s="28">
        <f t="shared" si="7"/>
        <v>13</v>
      </c>
      <c r="C16" s="28" t="s">
        <v>103</v>
      </c>
      <c r="D16" s="45" t="s">
        <v>100</v>
      </c>
      <c r="E16" s="49">
        <f>'aspek market'!N95</f>
        <v>69072</v>
      </c>
      <c r="F16" s="49">
        <f t="shared" si="8"/>
        <v>75979.199999999997</v>
      </c>
      <c r="G16" s="49">
        <f t="shared" si="8"/>
        <v>83577.119999999995</v>
      </c>
      <c r="H16" s="49">
        <f t="shared" si="8"/>
        <v>91934.831999999995</v>
      </c>
      <c r="I16" s="49">
        <f t="shared" si="8"/>
        <v>101128.3152</v>
      </c>
      <c r="J16" s="49">
        <f t="shared" si="8"/>
        <v>111241.14671999999</v>
      </c>
      <c r="K16" s="49">
        <f t="shared" si="8"/>
        <v>122365.26139199999</v>
      </c>
      <c r="L16" s="49">
        <f t="shared" si="8"/>
        <v>134601.78753119998</v>
      </c>
      <c r="M16" s="49">
        <f t="shared" si="8"/>
        <v>148061.96628431999</v>
      </c>
      <c r="N16" s="49">
        <f t="shared" si="8"/>
        <v>162868.16291275198</v>
      </c>
      <c r="O16" s="49">
        <f t="shared" si="9"/>
        <v>187298.38734966479</v>
      </c>
      <c r="P16" s="49">
        <f t="shared" si="10"/>
        <v>206028.22608463126</v>
      </c>
      <c r="Q16" s="49">
        <f t="shared" si="10"/>
        <v>226631.04869309437</v>
      </c>
      <c r="R16" s="49">
        <f t="shared" si="10"/>
        <v>249294.15356240381</v>
      </c>
      <c r="S16" s="49">
        <f t="shared" si="10"/>
        <v>274223.56891864422</v>
      </c>
      <c r="T16" s="49">
        <f t="shared" si="10"/>
        <v>301645.92581050866</v>
      </c>
      <c r="U16" s="49">
        <f t="shared" si="10"/>
        <v>331810.51839155954</v>
      </c>
      <c r="V16" s="49">
        <f t="shared" si="10"/>
        <v>364991.5702307155</v>
      </c>
      <c r="W16" s="49">
        <f t="shared" si="10"/>
        <v>401490.72725378704</v>
      </c>
      <c r="X16" s="49">
        <f t="shared" si="10"/>
        <v>441639.79997916578</v>
      </c>
      <c r="Y16" s="142">
        <f t="shared" si="11"/>
        <v>485803.77997708239</v>
      </c>
      <c r="Z16" s="49">
        <f t="shared" si="12"/>
        <v>534384.15797479067</v>
      </c>
      <c r="AA16" s="49">
        <f t="shared" si="12"/>
        <v>587822.57377226977</v>
      </c>
      <c r="AB16" s="49">
        <f t="shared" si="12"/>
        <v>646604.83114949672</v>
      </c>
      <c r="AC16" s="49">
        <f t="shared" si="12"/>
        <v>711265.31426444638</v>
      </c>
      <c r="AD16" s="49">
        <f t="shared" si="12"/>
        <v>782391.84569089103</v>
      </c>
      <c r="AE16" s="49">
        <f t="shared" si="12"/>
        <v>860631.03025998012</v>
      </c>
      <c r="AF16" s="49">
        <f t="shared" si="12"/>
        <v>946694.13328597811</v>
      </c>
      <c r="AG16" s="49">
        <f t="shared" si="12"/>
        <v>1041363.5466145759</v>
      </c>
      <c r="AH16" s="49">
        <f t="shared" si="12"/>
        <v>1145499.9012760334</v>
      </c>
    </row>
    <row r="17" spans="1:34" s="28" customFormat="1" x14ac:dyDescent="0.25">
      <c r="A17" s="28">
        <f>A10</f>
        <v>4.7300000000000004</v>
      </c>
      <c r="B17" s="28">
        <f t="shared" si="7"/>
        <v>14</v>
      </c>
      <c r="C17" s="28" t="s">
        <v>103</v>
      </c>
      <c r="D17" s="45" t="s">
        <v>101</v>
      </c>
      <c r="E17" s="49">
        <f>'aspek market'!O95</f>
        <v>30778</v>
      </c>
      <c r="F17" s="49">
        <f t="shared" si="8"/>
        <v>33855.800000000003</v>
      </c>
      <c r="G17" s="49">
        <f t="shared" si="8"/>
        <v>37241.380000000005</v>
      </c>
      <c r="H17" s="49">
        <f t="shared" si="8"/>
        <v>40965.518000000004</v>
      </c>
      <c r="I17" s="49">
        <f t="shared" si="8"/>
        <v>45062.069800000005</v>
      </c>
      <c r="J17" s="49">
        <f t="shared" si="8"/>
        <v>49568.276780000007</v>
      </c>
      <c r="K17" s="49">
        <f t="shared" si="8"/>
        <v>54525.104458000009</v>
      </c>
      <c r="L17" s="49">
        <f t="shared" si="8"/>
        <v>59977.614903800008</v>
      </c>
      <c r="M17" s="49">
        <f t="shared" si="8"/>
        <v>65975.376394180013</v>
      </c>
      <c r="N17" s="49">
        <f t="shared" si="8"/>
        <v>72572.914033598019</v>
      </c>
      <c r="O17" s="49">
        <f t="shared" si="9"/>
        <v>83458.851138637721</v>
      </c>
      <c r="P17" s="49">
        <f t="shared" si="10"/>
        <v>91804.736252501491</v>
      </c>
      <c r="Q17" s="49">
        <f t="shared" si="10"/>
        <v>100985.20987775164</v>
      </c>
      <c r="R17" s="49">
        <f t="shared" si="10"/>
        <v>111083.7308655268</v>
      </c>
      <c r="S17" s="49">
        <f t="shared" si="10"/>
        <v>122192.10395207949</v>
      </c>
      <c r="T17" s="49">
        <f t="shared" si="10"/>
        <v>134411.31434728744</v>
      </c>
      <c r="U17" s="49">
        <f t="shared" si="10"/>
        <v>147852.44578201618</v>
      </c>
      <c r="V17" s="49">
        <f t="shared" si="10"/>
        <v>162637.69036021779</v>
      </c>
      <c r="W17" s="49">
        <f t="shared" si="10"/>
        <v>178901.45939623957</v>
      </c>
      <c r="X17" s="49">
        <f t="shared" si="10"/>
        <v>196791.60533586354</v>
      </c>
      <c r="Y17" s="142">
        <f t="shared" si="11"/>
        <v>216470.76586944988</v>
      </c>
      <c r="Z17" s="49">
        <f t="shared" si="12"/>
        <v>238117.84245639486</v>
      </c>
      <c r="AA17" s="49">
        <f t="shared" si="12"/>
        <v>261929.62670203435</v>
      </c>
      <c r="AB17" s="49">
        <f t="shared" si="12"/>
        <v>288122.5893722378</v>
      </c>
      <c r="AC17" s="49">
        <f t="shared" si="12"/>
        <v>316934.84830946155</v>
      </c>
      <c r="AD17" s="49">
        <f t="shared" si="12"/>
        <v>348628.33314040769</v>
      </c>
      <c r="AE17" s="49">
        <f t="shared" si="12"/>
        <v>383491.16645444848</v>
      </c>
      <c r="AF17" s="49">
        <f t="shared" si="12"/>
        <v>421840.28309989331</v>
      </c>
      <c r="AG17" s="49">
        <f t="shared" si="12"/>
        <v>464024.31140988262</v>
      </c>
      <c r="AH17" s="49">
        <f t="shared" si="12"/>
        <v>510426.74255087087</v>
      </c>
    </row>
    <row r="18" spans="1:34" s="28" customFormat="1" x14ac:dyDescent="0.25">
      <c r="A18" s="28">
        <f>A14</f>
        <v>2.15</v>
      </c>
      <c r="B18" s="28">
        <f t="shared" si="7"/>
        <v>15</v>
      </c>
      <c r="C18" s="28" t="s">
        <v>103</v>
      </c>
      <c r="D18" s="45" t="s">
        <v>102</v>
      </c>
      <c r="E18" s="49" t="s">
        <v>93</v>
      </c>
      <c r="F18" s="49"/>
      <c r="G18" s="49"/>
      <c r="H18" s="49"/>
      <c r="I18" s="49"/>
      <c r="J18" s="49"/>
      <c r="K18" s="49"/>
      <c r="L18" s="49"/>
      <c r="M18" s="49"/>
      <c r="N18" s="49"/>
      <c r="O18" s="49">
        <f t="shared" si="9"/>
        <v>0</v>
      </c>
      <c r="P18" s="49">
        <f t="shared" si="10"/>
        <v>0</v>
      </c>
      <c r="Q18" s="49">
        <f t="shared" si="10"/>
        <v>0</v>
      </c>
      <c r="R18" s="49">
        <f t="shared" si="10"/>
        <v>0</v>
      </c>
      <c r="S18" s="49">
        <f t="shared" si="10"/>
        <v>0</v>
      </c>
      <c r="T18" s="49">
        <f t="shared" si="10"/>
        <v>0</v>
      </c>
      <c r="U18" s="49">
        <f t="shared" si="10"/>
        <v>0</v>
      </c>
      <c r="V18" s="49">
        <f t="shared" si="10"/>
        <v>0</v>
      </c>
      <c r="W18" s="49">
        <f t="shared" si="10"/>
        <v>0</v>
      </c>
      <c r="X18" s="49">
        <f t="shared" si="10"/>
        <v>0</v>
      </c>
      <c r="Y18" s="142">
        <f t="shared" si="11"/>
        <v>0</v>
      </c>
      <c r="Z18" s="49">
        <f t="shared" si="12"/>
        <v>0</v>
      </c>
      <c r="AA18" s="49">
        <f t="shared" si="12"/>
        <v>0</v>
      </c>
      <c r="AB18" s="49">
        <f t="shared" si="12"/>
        <v>0</v>
      </c>
      <c r="AC18" s="49">
        <f t="shared" si="12"/>
        <v>0</v>
      </c>
      <c r="AD18" s="49">
        <f t="shared" si="12"/>
        <v>0</v>
      </c>
      <c r="AE18" s="49">
        <f t="shared" si="12"/>
        <v>0</v>
      </c>
      <c r="AF18" s="49">
        <f t="shared" si="12"/>
        <v>0</v>
      </c>
      <c r="AG18" s="49">
        <f t="shared" si="12"/>
        <v>0</v>
      </c>
      <c r="AH18" s="49">
        <f t="shared" si="12"/>
        <v>0</v>
      </c>
    </row>
    <row r="19" spans="1:34" s="28" customFormat="1" x14ac:dyDescent="0.25">
      <c r="A19" s="28">
        <v>2.72</v>
      </c>
      <c r="B19" s="28">
        <f t="shared" si="7"/>
        <v>16</v>
      </c>
      <c r="C19" s="28" t="s">
        <v>103</v>
      </c>
      <c r="D19" s="45" t="s">
        <v>104</v>
      </c>
      <c r="E19" s="49">
        <f>'aspek market'!R95</f>
        <v>12499</v>
      </c>
      <c r="F19" s="49">
        <f t="shared" si="8"/>
        <v>13748.9</v>
      </c>
      <c r="G19" s="49">
        <f t="shared" si="8"/>
        <v>15123.789999999999</v>
      </c>
      <c r="H19" s="49">
        <f t="shared" si="8"/>
        <v>16636.168999999998</v>
      </c>
      <c r="I19" s="49">
        <f t="shared" si="8"/>
        <v>18299.785899999999</v>
      </c>
      <c r="J19" s="49">
        <f t="shared" si="8"/>
        <v>20129.764489999998</v>
      </c>
      <c r="K19" s="49">
        <f t="shared" si="8"/>
        <v>22142.740938999996</v>
      </c>
      <c r="L19" s="49">
        <f t="shared" si="8"/>
        <v>24357.015032899995</v>
      </c>
      <c r="M19" s="49">
        <f t="shared" si="8"/>
        <v>26792.716536189993</v>
      </c>
      <c r="N19" s="49">
        <f t="shared" si="8"/>
        <v>29471.988189808992</v>
      </c>
      <c r="O19" s="49">
        <f t="shared" si="9"/>
        <v>33892.786418280339</v>
      </c>
      <c r="P19" s="49">
        <f t="shared" si="10"/>
        <v>37282.065060108376</v>
      </c>
      <c r="Q19" s="49">
        <f t="shared" si="10"/>
        <v>41010.271566119212</v>
      </c>
      <c r="R19" s="49">
        <f t="shared" si="10"/>
        <v>45111.298722731131</v>
      </c>
      <c r="S19" s="49">
        <f t="shared" si="10"/>
        <v>49622.428595004247</v>
      </c>
      <c r="T19" s="49">
        <f t="shared" si="10"/>
        <v>54584.671454504671</v>
      </c>
      <c r="U19" s="49">
        <f t="shared" si="10"/>
        <v>60043.138599955142</v>
      </c>
      <c r="V19" s="49">
        <f t="shared" si="10"/>
        <v>66047.452459950655</v>
      </c>
      <c r="W19" s="49">
        <f t="shared" si="10"/>
        <v>72652.197705945728</v>
      </c>
      <c r="X19" s="49">
        <f t="shared" si="10"/>
        <v>79917.4174765403</v>
      </c>
      <c r="Y19" s="142">
        <f t="shared" si="11"/>
        <v>87909.159224194329</v>
      </c>
      <c r="Z19" s="49">
        <f t="shared" si="12"/>
        <v>96700.075146613759</v>
      </c>
      <c r="AA19" s="49">
        <f t="shared" si="12"/>
        <v>106370.08266127514</v>
      </c>
      <c r="AB19" s="49">
        <f t="shared" si="12"/>
        <v>117007.09092740266</v>
      </c>
      <c r="AC19" s="49">
        <f t="shared" si="12"/>
        <v>128707.80002014292</v>
      </c>
      <c r="AD19" s="49">
        <f t="shared" si="12"/>
        <v>141578.58002215723</v>
      </c>
      <c r="AE19" s="49">
        <f t="shared" si="12"/>
        <v>155736.43802437294</v>
      </c>
      <c r="AF19" s="49">
        <f t="shared" si="12"/>
        <v>171310.08182681023</v>
      </c>
      <c r="AG19" s="49">
        <f t="shared" si="12"/>
        <v>188441.09000949125</v>
      </c>
      <c r="AH19" s="49">
        <f t="shared" si="12"/>
        <v>207285.19901044038</v>
      </c>
    </row>
    <row r="20" spans="1:34" s="28" customFormat="1" x14ac:dyDescent="0.25">
      <c r="A20" s="28">
        <f>A7</f>
        <v>10.07</v>
      </c>
      <c r="B20" s="28">
        <f t="shared" si="7"/>
        <v>17</v>
      </c>
      <c r="C20" s="28" t="s">
        <v>104</v>
      </c>
      <c r="D20" s="45" t="s">
        <v>100</v>
      </c>
      <c r="E20" s="49">
        <f>'aspek market'!N96</f>
        <v>65885</v>
      </c>
      <c r="F20" s="49">
        <f t="shared" si="8"/>
        <v>72473.5</v>
      </c>
      <c r="G20" s="49">
        <f t="shared" si="8"/>
        <v>79720.850000000006</v>
      </c>
      <c r="H20" s="49">
        <f t="shared" si="8"/>
        <v>87692.935000000012</v>
      </c>
      <c r="I20" s="49">
        <f t="shared" si="8"/>
        <v>96462.228500000012</v>
      </c>
      <c r="J20" s="49">
        <f t="shared" si="8"/>
        <v>106108.45135000002</v>
      </c>
      <c r="K20" s="49">
        <f t="shared" si="8"/>
        <v>116719.29648500003</v>
      </c>
      <c r="L20" s="49">
        <f t="shared" si="8"/>
        <v>128391.22613350004</v>
      </c>
      <c r="M20" s="49">
        <f t="shared" si="8"/>
        <v>141230.34874685004</v>
      </c>
      <c r="N20" s="49">
        <f t="shared" si="8"/>
        <v>155353.38362153503</v>
      </c>
      <c r="O20" s="49">
        <f t="shared" si="9"/>
        <v>178656.39116476529</v>
      </c>
      <c r="P20" s="49">
        <f t="shared" si="10"/>
        <v>196522.03028124181</v>
      </c>
      <c r="Q20" s="49">
        <f t="shared" si="10"/>
        <v>216174.23330936598</v>
      </c>
      <c r="R20" s="49">
        <f t="shared" si="10"/>
        <v>237791.65664030259</v>
      </c>
      <c r="S20" s="49">
        <f t="shared" si="10"/>
        <v>261570.82230433286</v>
      </c>
      <c r="T20" s="49">
        <f t="shared" si="10"/>
        <v>287727.90453476616</v>
      </c>
      <c r="U20" s="49">
        <f t="shared" si="10"/>
        <v>316500.69498824276</v>
      </c>
      <c r="V20" s="49">
        <f t="shared" si="10"/>
        <v>348150.764487067</v>
      </c>
      <c r="W20" s="49">
        <f t="shared" si="10"/>
        <v>382965.84093577368</v>
      </c>
      <c r="X20" s="49">
        <f t="shared" si="10"/>
        <v>421262.42502935103</v>
      </c>
      <c r="Y20" s="142">
        <f t="shared" si="11"/>
        <v>463388.66753228614</v>
      </c>
      <c r="Z20" s="49">
        <f t="shared" si="12"/>
        <v>509727.53428551473</v>
      </c>
      <c r="AA20" s="49">
        <f t="shared" si="12"/>
        <v>560700.28771406622</v>
      </c>
      <c r="AB20" s="49">
        <f t="shared" si="12"/>
        <v>616770.31648547284</v>
      </c>
      <c r="AC20" s="49">
        <f t="shared" si="12"/>
        <v>678447.34813402011</v>
      </c>
      <c r="AD20" s="49">
        <f t="shared" si="12"/>
        <v>746292.08294742217</v>
      </c>
      <c r="AE20" s="49">
        <f t="shared" si="12"/>
        <v>820921.29124216433</v>
      </c>
      <c r="AF20" s="49">
        <f t="shared" si="12"/>
        <v>903013.42036638083</v>
      </c>
      <c r="AG20" s="49">
        <f t="shared" si="12"/>
        <v>993314.76240301889</v>
      </c>
      <c r="AH20" s="49">
        <f t="shared" si="12"/>
        <v>1092646.2386433207</v>
      </c>
    </row>
    <row r="21" spans="1:34" s="28" customFormat="1" x14ac:dyDescent="0.25">
      <c r="A21" s="28">
        <f>A11</f>
        <v>7.4500000000000011</v>
      </c>
      <c r="B21" s="28">
        <f t="shared" si="7"/>
        <v>18</v>
      </c>
      <c r="C21" s="28" t="s">
        <v>104</v>
      </c>
      <c r="D21" s="45" t="s">
        <v>101</v>
      </c>
      <c r="E21" s="49">
        <f>'aspek market'!O96</f>
        <v>14231</v>
      </c>
      <c r="F21" s="49">
        <f t="shared" si="8"/>
        <v>15654.1</v>
      </c>
      <c r="G21" s="49">
        <f t="shared" si="8"/>
        <v>17219.510000000002</v>
      </c>
      <c r="H21" s="49">
        <f t="shared" si="8"/>
        <v>18941.461000000003</v>
      </c>
      <c r="I21" s="49">
        <f t="shared" si="8"/>
        <v>20835.607100000005</v>
      </c>
      <c r="J21" s="49">
        <f t="shared" si="8"/>
        <v>22919.167810000006</v>
      </c>
      <c r="K21" s="49">
        <f t="shared" si="8"/>
        <v>25211.084591000006</v>
      </c>
      <c r="L21" s="49">
        <f t="shared" si="8"/>
        <v>27732.193050100006</v>
      </c>
      <c r="M21" s="49">
        <f t="shared" si="8"/>
        <v>30505.412355110006</v>
      </c>
      <c r="N21" s="49">
        <f t="shared" si="8"/>
        <v>33555.953590621008</v>
      </c>
      <c r="O21" s="49">
        <f t="shared" si="9"/>
        <v>38589.34662921416</v>
      </c>
      <c r="P21" s="49">
        <f t="shared" si="10"/>
        <v>42448.28129213558</v>
      </c>
      <c r="Q21" s="49">
        <f t="shared" si="10"/>
        <v>46693.109421349138</v>
      </c>
      <c r="R21" s="49">
        <f t="shared" si="10"/>
        <v>51362.420363484052</v>
      </c>
      <c r="S21" s="49">
        <f t="shared" si="10"/>
        <v>56498.662399832458</v>
      </c>
      <c r="T21" s="49">
        <f t="shared" si="10"/>
        <v>62148.528639815704</v>
      </c>
      <c r="U21" s="49">
        <f t="shared" si="10"/>
        <v>68363.381503797282</v>
      </c>
      <c r="V21" s="49">
        <f t="shared" si="10"/>
        <v>75199.71965417701</v>
      </c>
      <c r="W21" s="49">
        <f t="shared" si="10"/>
        <v>82719.691619594712</v>
      </c>
      <c r="X21" s="49">
        <f t="shared" si="10"/>
        <v>90991.660781554179</v>
      </c>
      <c r="Y21" s="142">
        <f t="shared" si="11"/>
        <v>100090.8268597096</v>
      </c>
      <c r="Z21" s="49">
        <f t="shared" si="12"/>
        <v>110099.90954568057</v>
      </c>
      <c r="AA21" s="49">
        <f t="shared" si="12"/>
        <v>121109.90050024862</v>
      </c>
      <c r="AB21" s="49">
        <f t="shared" si="12"/>
        <v>133220.89055027347</v>
      </c>
      <c r="AC21" s="49">
        <f t="shared" si="12"/>
        <v>146542.97960530082</v>
      </c>
      <c r="AD21" s="49">
        <f t="shared" si="12"/>
        <v>161197.27756583091</v>
      </c>
      <c r="AE21" s="49">
        <f t="shared" si="12"/>
        <v>177317.00532241401</v>
      </c>
      <c r="AF21" s="49">
        <f t="shared" si="12"/>
        <v>195048.70585465542</v>
      </c>
      <c r="AG21" s="49">
        <f t="shared" si="12"/>
        <v>214553.57644012096</v>
      </c>
      <c r="AH21" s="49">
        <f t="shared" si="12"/>
        <v>236008.93408413307</v>
      </c>
    </row>
    <row r="22" spans="1:34" s="28" customFormat="1" x14ac:dyDescent="0.25">
      <c r="A22" s="28">
        <f>A15</f>
        <v>4.87</v>
      </c>
      <c r="B22" s="28">
        <f t="shared" si="7"/>
        <v>19</v>
      </c>
      <c r="C22" s="28" t="s">
        <v>104</v>
      </c>
      <c r="D22" s="45" t="s">
        <v>102</v>
      </c>
      <c r="E22" s="49">
        <f>'aspek market'!P96</f>
        <v>17958</v>
      </c>
      <c r="F22" s="49">
        <f t="shared" si="8"/>
        <v>19753.8</v>
      </c>
      <c r="G22" s="49">
        <f t="shared" si="8"/>
        <v>21729.18</v>
      </c>
      <c r="H22" s="49">
        <f t="shared" si="8"/>
        <v>23902.098000000002</v>
      </c>
      <c r="I22" s="49">
        <f t="shared" si="8"/>
        <v>26292.307800000002</v>
      </c>
      <c r="J22" s="49">
        <f t="shared" si="8"/>
        <v>28921.538580000004</v>
      </c>
      <c r="K22" s="49">
        <f t="shared" si="8"/>
        <v>31813.692438000005</v>
      </c>
      <c r="L22" s="49">
        <f t="shared" si="8"/>
        <v>34995.061681800005</v>
      </c>
      <c r="M22" s="49">
        <f t="shared" si="8"/>
        <v>38494.567849980005</v>
      </c>
      <c r="N22" s="49">
        <f t="shared" si="8"/>
        <v>42344.024634978006</v>
      </c>
      <c r="O22" s="49">
        <f t="shared" si="9"/>
        <v>48695.62833022471</v>
      </c>
      <c r="P22" s="49">
        <f t="shared" si="10"/>
        <v>53565.191163247182</v>
      </c>
      <c r="Q22" s="49">
        <f t="shared" si="10"/>
        <v>58921.710279571897</v>
      </c>
      <c r="R22" s="49">
        <f t="shared" si="10"/>
        <v>64813.881307529089</v>
      </c>
      <c r="S22" s="49">
        <f t="shared" si="10"/>
        <v>71295.269438282005</v>
      </c>
      <c r="T22" s="49">
        <f t="shared" si="10"/>
        <v>78424.796382110202</v>
      </c>
      <c r="U22" s="49">
        <f t="shared" si="10"/>
        <v>86267.276020321224</v>
      </c>
      <c r="V22" s="49">
        <f t="shared" si="10"/>
        <v>94894.003622353339</v>
      </c>
      <c r="W22" s="49">
        <f t="shared" si="10"/>
        <v>104383.40398458867</v>
      </c>
      <c r="X22" s="49">
        <f t="shared" si="10"/>
        <v>114821.74438304754</v>
      </c>
      <c r="Y22" s="142">
        <f t="shared" si="11"/>
        <v>126303.9188213523</v>
      </c>
      <c r="Z22" s="49">
        <f t="shared" si="12"/>
        <v>138934.31070348754</v>
      </c>
      <c r="AA22" s="49">
        <f t="shared" si="12"/>
        <v>152827.74177383629</v>
      </c>
      <c r="AB22" s="49">
        <f t="shared" si="12"/>
        <v>168110.51595121992</v>
      </c>
      <c r="AC22" s="49">
        <f t="shared" si="12"/>
        <v>184921.56754634192</v>
      </c>
      <c r="AD22" s="49">
        <f t="shared" si="12"/>
        <v>203413.72430097612</v>
      </c>
      <c r="AE22" s="49">
        <f t="shared" si="12"/>
        <v>223755.09673107372</v>
      </c>
      <c r="AF22" s="49">
        <f t="shared" si="12"/>
        <v>246130.6064041811</v>
      </c>
      <c r="AG22" s="49">
        <f t="shared" si="12"/>
        <v>270743.66704459919</v>
      </c>
      <c r="AH22" s="49">
        <f t="shared" si="12"/>
        <v>297818.03374905913</v>
      </c>
    </row>
    <row r="23" spans="1:34" s="28" customFormat="1" x14ac:dyDescent="0.25">
      <c r="A23" s="28">
        <f>A19</f>
        <v>2.72</v>
      </c>
      <c r="B23" s="28">
        <f t="shared" si="7"/>
        <v>20</v>
      </c>
      <c r="C23" s="28" t="s">
        <v>104</v>
      </c>
      <c r="D23" s="45" t="s">
        <v>103</v>
      </c>
      <c r="E23" s="49">
        <f>'aspek market'!Q96</f>
        <v>10728</v>
      </c>
      <c r="F23" s="49">
        <f t="shared" si="8"/>
        <v>11800.8</v>
      </c>
      <c r="G23" s="49">
        <f t="shared" si="8"/>
        <v>12980.88</v>
      </c>
      <c r="H23" s="49">
        <f t="shared" si="8"/>
        <v>14278.967999999999</v>
      </c>
      <c r="I23" s="49">
        <f t="shared" si="8"/>
        <v>15706.864799999999</v>
      </c>
      <c r="J23" s="49">
        <f t="shared" si="8"/>
        <v>17277.55128</v>
      </c>
      <c r="K23" s="49">
        <f t="shared" si="8"/>
        <v>19005.306408</v>
      </c>
      <c r="L23" s="49">
        <f t="shared" si="8"/>
        <v>20905.8370488</v>
      </c>
      <c r="M23" s="49">
        <f t="shared" si="8"/>
        <v>22996.420753679999</v>
      </c>
      <c r="N23" s="49">
        <f t="shared" si="8"/>
        <v>25296.062829047998</v>
      </c>
      <c r="O23" s="49">
        <f t="shared" si="9"/>
        <v>29090.472253405198</v>
      </c>
      <c r="P23" s="49">
        <f t="shared" si="10"/>
        <v>31999.519478745719</v>
      </c>
      <c r="Q23" s="49">
        <f t="shared" si="10"/>
        <v>35199.471426620294</v>
      </c>
      <c r="R23" s="49">
        <f t="shared" si="10"/>
        <v>38719.418569282323</v>
      </c>
      <c r="S23" s="49">
        <f t="shared" si="10"/>
        <v>42591.360426210558</v>
      </c>
      <c r="T23" s="49">
        <f t="shared" si="10"/>
        <v>46850.49646883161</v>
      </c>
      <c r="U23" s="49">
        <f t="shared" si="10"/>
        <v>51535.546115714773</v>
      </c>
      <c r="V23" s="49">
        <f t="shared" si="10"/>
        <v>56689.100727286248</v>
      </c>
      <c r="W23" s="49">
        <f t="shared" si="10"/>
        <v>62358.010800014876</v>
      </c>
      <c r="X23" s="49">
        <f t="shared" si="10"/>
        <v>68593.811880016365</v>
      </c>
      <c r="Y23" s="142">
        <f t="shared" si="11"/>
        <v>75453.193068018008</v>
      </c>
      <c r="Z23" s="49">
        <f t="shared" si="12"/>
        <v>82998.512374819809</v>
      </c>
      <c r="AA23" s="49">
        <f t="shared" si="12"/>
        <v>91298.363612301793</v>
      </c>
      <c r="AB23" s="49">
        <f t="shared" si="12"/>
        <v>100428.19997353197</v>
      </c>
      <c r="AC23" s="49">
        <f t="shared" si="12"/>
        <v>110471.01997088517</v>
      </c>
      <c r="AD23" s="49">
        <f t="shared" si="12"/>
        <v>121518.12196797368</v>
      </c>
      <c r="AE23" s="49">
        <f t="shared" si="12"/>
        <v>133669.93416477105</v>
      </c>
      <c r="AF23" s="49">
        <f t="shared" si="12"/>
        <v>147036.92758124816</v>
      </c>
      <c r="AG23" s="49">
        <f t="shared" si="12"/>
        <v>161740.62033937298</v>
      </c>
      <c r="AH23" s="49">
        <f t="shared" si="12"/>
        <v>177914.68237331026</v>
      </c>
    </row>
    <row r="24" spans="1:34" x14ac:dyDescent="0.25">
      <c r="D24" s="69">
        <v>305192.82999999996</v>
      </c>
      <c r="E24" s="48">
        <f>SUM(E4:E23)</f>
        <v>501829</v>
      </c>
      <c r="F24" s="48">
        <f t="shared" ref="F24:N24" si="13">SUM(F4:F23)</f>
        <v>552011.90000000014</v>
      </c>
      <c r="G24" s="48">
        <f t="shared" si="13"/>
        <v>607213.09000000008</v>
      </c>
      <c r="H24" s="48">
        <f t="shared" si="13"/>
        <v>667934.39899999998</v>
      </c>
      <c r="I24" s="48">
        <f t="shared" si="13"/>
        <v>734727.83889999997</v>
      </c>
      <c r="J24" s="48">
        <f t="shared" si="13"/>
        <v>808200.62278999994</v>
      </c>
      <c r="K24" s="48">
        <f t="shared" si="13"/>
        <v>889020.68506900012</v>
      </c>
      <c r="L24" s="48">
        <f t="shared" si="13"/>
        <v>977922.75357589999</v>
      </c>
      <c r="M24" s="48">
        <f t="shared" si="13"/>
        <v>1075715.0289334902</v>
      </c>
      <c r="N24" s="48">
        <f t="shared" si="13"/>
        <v>1183286.5318268391</v>
      </c>
      <c r="O24" s="48">
        <f t="shared" ref="O24:X24" si="14">SUM(O4:O23)</f>
        <v>1357709.463707183</v>
      </c>
      <c r="P24" s="48">
        <f t="shared" si="14"/>
        <v>1493480.4100779013</v>
      </c>
      <c r="Q24" s="48">
        <f t="shared" si="14"/>
        <v>1642828.4510856916</v>
      </c>
      <c r="R24" s="48">
        <f t="shared" si="14"/>
        <v>1807111.2961942605</v>
      </c>
      <c r="S24" s="48">
        <f t="shared" si="14"/>
        <v>1987822.4258136868</v>
      </c>
      <c r="T24" s="48">
        <f t="shared" si="14"/>
        <v>2186604.6683950555</v>
      </c>
      <c r="U24" s="48">
        <f t="shared" si="14"/>
        <v>2405265.1352345604</v>
      </c>
      <c r="V24" s="48">
        <f t="shared" si="14"/>
        <v>2645791.6487580165</v>
      </c>
      <c r="W24" s="48">
        <f t="shared" si="14"/>
        <v>2910370.8136338182</v>
      </c>
      <c r="X24" s="48">
        <f t="shared" si="14"/>
        <v>3201407.8949972005</v>
      </c>
      <c r="Y24" s="48">
        <f t="shared" ref="Y24:AH24" si="15">SUM(Y4:Y23)</f>
        <v>3521548.6844969215</v>
      </c>
      <c r="Z24" s="48">
        <f t="shared" si="15"/>
        <v>3873703.5529466127</v>
      </c>
      <c r="AA24" s="48">
        <f t="shared" si="15"/>
        <v>4261073.9082412748</v>
      </c>
      <c r="AB24" s="48">
        <f t="shared" si="15"/>
        <v>4687181.2990654008</v>
      </c>
      <c r="AC24" s="48">
        <f t="shared" si="15"/>
        <v>5155899.4289719416</v>
      </c>
      <c r="AD24" s="48">
        <f t="shared" si="15"/>
        <v>5671489.3718691366</v>
      </c>
      <c r="AE24" s="48">
        <f t="shared" si="15"/>
        <v>6238638.3090560492</v>
      </c>
      <c r="AF24" s="48">
        <f t="shared" si="15"/>
        <v>6862502.1399616534</v>
      </c>
      <c r="AG24" s="48">
        <f t="shared" si="15"/>
        <v>7548752.3539578198</v>
      </c>
      <c r="AH24" s="48">
        <f t="shared" si="15"/>
        <v>8303627.5893536005</v>
      </c>
    </row>
    <row r="25" spans="1:34" x14ac:dyDescent="0.25">
      <c r="D25" s="69">
        <f>F25/18</f>
        <v>0</v>
      </c>
      <c r="E25" s="46">
        <v>307619</v>
      </c>
      <c r="F25" s="142"/>
      <c r="G25" s="46">
        <v>624113</v>
      </c>
      <c r="H25" s="46">
        <v>731448</v>
      </c>
      <c r="I25" s="46">
        <v>779310</v>
      </c>
      <c r="J25" s="46">
        <v>913335</v>
      </c>
      <c r="K25" s="46">
        <v>973098</v>
      </c>
      <c r="L25" s="46">
        <v>1167268</v>
      </c>
      <c r="M25" s="46">
        <v>1276438</v>
      </c>
      <c r="N25" s="46">
        <v>1603453</v>
      </c>
    </row>
    <row r="26" spans="1:34" x14ac:dyDescent="0.25">
      <c r="A26" s="42"/>
      <c r="C26" s="69">
        <f>D26/18</f>
        <v>-17089.944444444445</v>
      </c>
      <c r="D26" s="25">
        <f>F25-E25</f>
        <v>-307619</v>
      </c>
      <c r="E26" s="69">
        <f>E24/18</f>
        <v>27879.388888888891</v>
      </c>
      <c r="F26" s="142">
        <f>(E26*10%)+E26</f>
        <v>30667.32777777778</v>
      </c>
      <c r="G26" s="42">
        <f t="shared" ref="G26:N26" si="16">(G25-F25)/G25</f>
        <v>1</v>
      </c>
      <c r="H26" s="42">
        <f t="shared" si="16"/>
        <v>0.14674317244698187</v>
      </c>
      <c r="I26" s="42">
        <f t="shared" si="16"/>
        <v>6.1415867883127383E-2</v>
      </c>
      <c r="J26" s="42">
        <f t="shared" si="16"/>
        <v>0.14674243295176467</v>
      </c>
      <c r="K26" s="42">
        <f t="shared" si="16"/>
        <v>6.1415191481227996E-2</v>
      </c>
      <c r="L26" s="42">
        <f t="shared" si="16"/>
        <v>0.1663456892504549</v>
      </c>
      <c r="M26" s="42">
        <f t="shared" si="16"/>
        <v>8.5527068294738953E-2</v>
      </c>
      <c r="N26" s="42">
        <f t="shared" si="16"/>
        <v>0.20394423784170787</v>
      </c>
      <c r="O26" s="42"/>
    </row>
    <row r="27" spans="1:34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34" x14ac:dyDescent="0.25">
      <c r="C28" t="s">
        <v>105</v>
      </c>
      <c r="D28" t="s">
        <v>106</v>
      </c>
    </row>
    <row r="29" spans="1:34" x14ac:dyDescent="0.25">
      <c r="B29" s="28">
        <v>1</v>
      </c>
      <c r="C29" s="28" t="s">
        <v>100</v>
      </c>
      <c r="D29" s="28" t="s">
        <v>101</v>
      </c>
    </row>
    <row r="30" spans="1:34" x14ac:dyDescent="0.25">
      <c r="B30" s="28">
        <f>B29+1</f>
        <v>2</v>
      </c>
      <c r="C30" s="28" t="s">
        <v>100</v>
      </c>
      <c r="D30" s="28" t="s">
        <v>102</v>
      </c>
    </row>
    <row r="31" spans="1:34" x14ac:dyDescent="0.25">
      <c r="B31" s="28">
        <f t="shared" ref="B31:B48" si="17">B30+1</f>
        <v>3</v>
      </c>
      <c r="C31" s="28" t="s">
        <v>100</v>
      </c>
      <c r="D31" s="28" t="s">
        <v>103</v>
      </c>
    </row>
    <row r="32" spans="1:34" x14ac:dyDescent="0.25">
      <c r="B32" s="28">
        <f t="shared" si="17"/>
        <v>4</v>
      </c>
      <c r="C32" s="28" t="s">
        <v>100</v>
      </c>
      <c r="D32" s="45" t="s">
        <v>104</v>
      </c>
    </row>
    <row r="33" spans="2:4" x14ac:dyDescent="0.25">
      <c r="B33" s="28">
        <f t="shared" si="17"/>
        <v>5</v>
      </c>
      <c r="C33" s="28" t="s">
        <v>101</v>
      </c>
      <c r="D33" s="45" t="s">
        <v>100</v>
      </c>
    </row>
    <row r="34" spans="2:4" x14ac:dyDescent="0.25">
      <c r="B34" s="28">
        <f t="shared" si="17"/>
        <v>6</v>
      </c>
      <c r="C34" s="28" t="s">
        <v>101</v>
      </c>
      <c r="D34" s="45" t="s">
        <v>102</v>
      </c>
    </row>
    <row r="35" spans="2:4" x14ac:dyDescent="0.25">
      <c r="B35" s="28">
        <f t="shared" si="17"/>
        <v>7</v>
      </c>
      <c r="C35" s="28" t="s">
        <v>101</v>
      </c>
      <c r="D35" s="45" t="s">
        <v>103</v>
      </c>
    </row>
    <row r="36" spans="2:4" x14ac:dyDescent="0.25">
      <c r="B36" s="28">
        <f t="shared" si="17"/>
        <v>8</v>
      </c>
      <c r="C36" s="28" t="s">
        <v>101</v>
      </c>
      <c r="D36" s="45" t="s">
        <v>104</v>
      </c>
    </row>
    <row r="37" spans="2:4" x14ac:dyDescent="0.25">
      <c r="B37" s="28">
        <f t="shared" si="17"/>
        <v>9</v>
      </c>
      <c r="C37" s="28" t="s">
        <v>102</v>
      </c>
      <c r="D37" s="45" t="s">
        <v>100</v>
      </c>
    </row>
    <row r="38" spans="2:4" x14ac:dyDescent="0.25">
      <c r="B38" s="28">
        <f t="shared" si="17"/>
        <v>10</v>
      </c>
      <c r="C38" s="28" t="s">
        <v>102</v>
      </c>
      <c r="D38" s="45" t="s">
        <v>101</v>
      </c>
    </row>
    <row r="39" spans="2:4" x14ac:dyDescent="0.25">
      <c r="B39" s="28">
        <f t="shared" si="17"/>
        <v>11</v>
      </c>
      <c r="C39" s="28" t="s">
        <v>102</v>
      </c>
      <c r="D39" s="45" t="s">
        <v>103</v>
      </c>
    </row>
    <row r="40" spans="2:4" x14ac:dyDescent="0.25">
      <c r="B40" s="28">
        <f t="shared" si="17"/>
        <v>12</v>
      </c>
      <c r="C40" s="28" t="s">
        <v>102</v>
      </c>
      <c r="D40" s="45" t="s">
        <v>104</v>
      </c>
    </row>
    <row r="41" spans="2:4" x14ac:dyDescent="0.25">
      <c r="B41" s="28">
        <f t="shared" si="17"/>
        <v>13</v>
      </c>
      <c r="C41" s="28" t="s">
        <v>103</v>
      </c>
      <c r="D41" s="45" t="s">
        <v>100</v>
      </c>
    </row>
    <row r="42" spans="2:4" x14ac:dyDescent="0.25">
      <c r="B42" s="28">
        <f t="shared" si="17"/>
        <v>14</v>
      </c>
      <c r="C42" s="28" t="s">
        <v>103</v>
      </c>
      <c r="D42" s="45" t="s">
        <v>101</v>
      </c>
    </row>
    <row r="43" spans="2:4" x14ac:dyDescent="0.25">
      <c r="B43" s="28">
        <f t="shared" si="17"/>
        <v>15</v>
      </c>
      <c r="C43" s="28" t="s">
        <v>103</v>
      </c>
      <c r="D43" s="45" t="s">
        <v>102</v>
      </c>
    </row>
    <row r="44" spans="2:4" x14ac:dyDescent="0.25">
      <c r="B44" s="28">
        <f t="shared" si="17"/>
        <v>16</v>
      </c>
      <c r="C44" s="28" t="s">
        <v>103</v>
      </c>
      <c r="D44" s="45" t="s">
        <v>104</v>
      </c>
    </row>
    <row r="45" spans="2:4" x14ac:dyDescent="0.25">
      <c r="B45" s="28">
        <f t="shared" si="17"/>
        <v>17</v>
      </c>
      <c r="C45" s="28" t="s">
        <v>104</v>
      </c>
      <c r="D45" s="45" t="s">
        <v>100</v>
      </c>
    </row>
    <row r="46" spans="2:4" x14ac:dyDescent="0.25">
      <c r="B46" s="28">
        <f t="shared" si="17"/>
        <v>18</v>
      </c>
      <c r="C46" s="28" t="s">
        <v>104</v>
      </c>
      <c r="D46" s="45" t="s">
        <v>101</v>
      </c>
    </row>
    <row r="47" spans="2:4" x14ac:dyDescent="0.25">
      <c r="B47" s="28">
        <f t="shared" si="17"/>
        <v>19</v>
      </c>
      <c r="C47" s="28" t="s">
        <v>104</v>
      </c>
      <c r="D47" s="45" t="s">
        <v>102</v>
      </c>
    </row>
    <row r="48" spans="2:4" x14ac:dyDescent="0.25">
      <c r="B48" s="28">
        <f t="shared" si="17"/>
        <v>20</v>
      </c>
      <c r="C48" s="28" t="s">
        <v>104</v>
      </c>
      <c r="D48" s="45" t="s">
        <v>103</v>
      </c>
    </row>
    <row r="50" spans="2:14" x14ac:dyDescent="0.25">
      <c r="E50" s="46">
        <v>1621325</v>
      </c>
      <c r="F50" s="46">
        <v>1804403</v>
      </c>
      <c r="G50" s="46">
        <v>1804403</v>
      </c>
      <c r="H50" s="46">
        <v>1984844</v>
      </c>
      <c r="I50" s="46">
        <v>2397517</v>
      </c>
      <c r="J50" s="46">
        <v>2637269</v>
      </c>
      <c r="K50" s="46">
        <v>2637269</v>
      </c>
      <c r="L50" s="46">
        <v>2900996</v>
      </c>
      <c r="M50" s="46">
        <v>2900996</v>
      </c>
      <c r="N50" s="46">
        <v>3191096</v>
      </c>
    </row>
    <row r="51" spans="2:14" x14ac:dyDescent="0.25">
      <c r="G51" s="20"/>
      <c r="I51" s="25"/>
    </row>
    <row r="52" spans="2:14" x14ac:dyDescent="0.25">
      <c r="C52" t="s">
        <v>105</v>
      </c>
      <c r="D52" t="s">
        <v>106</v>
      </c>
    </row>
    <row r="53" spans="2:14" x14ac:dyDescent="0.25">
      <c r="B53" s="28">
        <v>1</v>
      </c>
      <c r="C53" s="28" t="s">
        <v>100</v>
      </c>
      <c r="D53" s="28" t="s">
        <v>101</v>
      </c>
    </row>
    <row r="54" spans="2:14" x14ac:dyDescent="0.25">
      <c r="B54" s="28">
        <f>B53+1</f>
        <v>2</v>
      </c>
      <c r="C54" s="28" t="s">
        <v>100</v>
      </c>
      <c r="D54" s="28" t="s">
        <v>102</v>
      </c>
    </row>
    <row r="55" spans="2:14" x14ac:dyDescent="0.25">
      <c r="B55" s="28">
        <f t="shared" ref="B55:B72" si="18">B54+1</f>
        <v>3</v>
      </c>
      <c r="C55" s="28" t="s">
        <v>100</v>
      </c>
      <c r="D55" s="28" t="s">
        <v>103</v>
      </c>
    </row>
    <row r="56" spans="2:14" x14ac:dyDescent="0.25">
      <c r="B56" s="28">
        <f t="shared" si="18"/>
        <v>4</v>
      </c>
      <c r="C56" s="28" t="s">
        <v>100</v>
      </c>
      <c r="D56" s="45" t="s">
        <v>104</v>
      </c>
    </row>
    <row r="57" spans="2:14" x14ac:dyDescent="0.25">
      <c r="B57" s="28">
        <f t="shared" si="18"/>
        <v>5</v>
      </c>
      <c r="C57" s="28" t="s">
        <v>101</v>
      </c>
      <c r="D57" s="45" t="s">
        <v>100</v>
      </c>
    </row>
    <row r="58" spans="2:14" x14ac:dyDescent="0.25">
      <c r="B58" s="28">
        <f t="shared" si="18"/>
        <v>6</v>
      </c>
      <c r="C58" s="28" t="s">
        <v>101</v>
      </c>
      <c r="D58" s="45" t="s">
        <v>102</v>
      </c>
    </row>
    <row r="59" spans="2:14" x14ac:dyDescent="0.25">
      <c r="B59" s="28">
        <f t="shared" si="18"/>
        <v>7</v>
      </c>
      <c r="C59" s="28" t="s">
        <v>101</v>
      </c>
      <c r="D59" s="45" t="s">
        <v>103</v>
      </c>
    </row>
    <row r="60" spans="2:14" x14ac:dyDescent="0.25">
      <c r="B60" s="28">
        <f t="shared" si="18"/>
        <v>8</v>
      </c>
      <c r="C60" s="28" t="s">
        <v>101</v>
      </c>
      <c r="D60" s="45" t="s">
        <v>104</v>
      </c>
    </row>
    <row r="61" spans="2:14" x14ac:dyDescent="0.25">
      <c r="B61" s="28">
        <f t="shared" si="18"/>
        <v>9</v>
      </c>
      <c r="C61" s="28" t="s">
        <v>102</v>
      </c>
      <c r="D61" s="45" t="s">
        <v>100</v>
      </c>
    </row>
    <row r="62" spans="2:14" x14ac:dyDescent="0.25">
      <c r="B62" s="28">
        <f t="shared" si="18"/>
        <v>10</v>
      </c>
      <c r="C62" s="28" t="s">
        <v>102</v>
      </c>
      <c r="D62" s="45" t="s">
        <v>101</v>
      </c>
    </row>
    <row r="63" spans="2:14" x14ac:dyDescent="0.25">
      <c r="B63" s="28">
        <f t="shared" si="18"/>
        <v>11</v>
      </c>
      <c r="C63" s="28" t="s">
        <v>102</v>
      </c>
      <c r="D63" s="45" t="s">
        <v>103</v>
      </c>
    </row>
    <row r="64" spans="2:14" x14ac:dyDescent="0.25">
      <c r="B64" s="28">
        <f t="shared" si="18"/>
        <v>12</v>
      </c>
      <c r="C64" s="28" t="s">
        <v>102</v>
      </c>
      <c r="D64" s="45" t="s">
        <v>104</v>
      </c>
    </row>
    <row r="65" spans="2:14" x14ac:dyDescent="0.25">
      <c r="B65" s="28">
        <f t="shared" si="18"/>
        <v>13</v>
      </c>
      <c r="C65" s="28" t="s">
        <v>103</v>
      </c>
      <c r="D65" s="45" t="s">
        <v>100</v>
      </c>
    </row>
    <row r="66" spans="2:14" x14ac:dyDescent="0.25">
      <c r="B66" s="28">
        <f t="shared" si="18"/>
        <v>14</v>
      </c>
      <c r="C66" s="28" t="s">
        <v>103</v>
      </c>
      <c r="D66" s="45" t="s">
        <v>101</v>
      </c>
    </row>
    <row r="67" spans="2:14" x14ac:dyDescent="0.25">
      <c r="B67" s="28">
        <f t="shared" si="18"/>
        <v>15</v>
      </c>
      <c r="C67" s="28" t="s">
        <v>103</v>
      </c>
      <c r="D67" s="45" t="s">
        <v>102</v>
      </c>
    </row>
    <row r="68" spans="2:14" x14ac:dyDescent="0.25">
      <c r="B68" s="28">
        <f t="shared" si="18"/>
        <v>16</v>
      </c>
      <c r="C68" s="28" t="s">
        <v>103</v>
      </c>
      <c r="D68" s="45" t="s">
        <v>104</v>
      </c>
    </row>
    <row r="69" spans="2:14" x14ac:dyDescent="0.25">
      <c r="B69" s="28">
        <f t="shared" si="18"/>
        <v>17</v>
      </c>
      <c r="C69" s="28" t="s">
        <v>104</v>
      </c>
      <c r="D69" s="45" t="s">
        <v>100</v>
      </c>
    </row>
    <row r="70" spans="2:14" x14ac:dyDescent="0.25">
      <c r="B70" s="28">
        <f t="shared" si="18"/>
        <v>18</v>
      </c>
      <c r="C70" s="28" t="s">
        <v>104</v>
      </c>
      <c r="D70" s="45" t="s">
        <v>101</v>
      </c>
    </row>
    <row r="71" spans="2:14" x14ac:dyDescent="0.25">
      <c r="B71" s="28">
        <f t="shared" si="18"/>
        <v>19</v>
      </c>
      <c r="C71" s="28" t="s">
        <v>104</v>
      </c>
      <c r="D71" s="45" t="s">
        <v>102</v>
      </c>
    </row>
    <row r="72" spans="2:14" x14ac:dyDescent="0.25">
      <c r="B72" s="28">
        <f t="shared" si="18"/>
        <v>20</v>
      </c>
      <c r="C72" s="28" t="s">
        <v>104</v>
      </c>
      <c r="D72" s="45" t="s">
        <v>103</v>
      </c>
    </row>
    <row r="74" spans="2:14" x14ac:dyDescent="0.25">
      <c r="E74" s="46">
        <v>3191096</v>
      </c>
      <c r="F74" s="46">
        <v>3510205</v>
      </c>
      <c r="G74" s="46">
        <v>3510205</v>
      </c>
      <c r="H74" s="46">
        <v>3861226</v>
      </c>
      <c r="I74" s="46">
        <v>3861226</v>
      </c>
      <c r="J74" s="46">
        <v>4247348</v>
      </c>
      <c r="K74" s="46">
        <v>4247348</v>
      </c>
      <c r="L74" s="46">
        <v>4672083</v>
      </c>
      <c r="M74" s="46">
        <v>4672083</v>
      </c>
      <c r="N74" s="46">
        <v>5139292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7"/>
  <sheetViews>
    <sheetView showGridLines="0" zoomScale="85" zoomScaleNormal="85" workbookViewId="0">
      <selection activeCell="L37" sqref="L37"/>
    </sheetView>
  </sheetViews>
  <sheetFormatPr defaultRowHeight="15" x14ac:dyDescent="0.25"/>
  <cols>
    <col min="2" max="2" width="9.140625" style="54"/>
    <col min="3" max="3" width="25.7109375" style="190" customWidth="1"/>
    <col min="4" max="33" width="15.7109375" style="164" customWidth="1"/>
  </cols>
  <sheetData>
    <row r="2" spans="1:33" ht="15.75" x14ac:dyDescent="0.25">
      <c r="C2" s="266" t="s">
        <v>25</v>
      </c>
      <c r="D2" s="267" t="s">
        <v>24</v>
      </c>
      <c r="E2" s="267"/>
      <c r="F2" s="267"/>
      <c r="G2" s="267"/>
      <c r="H2" s="267"/>
      <c r="I2" s="267"/>
      <c r="J2" s="267"/>
      <c r="K2" s="267"/>
      <c r="L2" s="267"/>
      <c r="M2" s="267"/>
      <c r="N2" s="267" t="s">
        <v>24</v>
      </c>
      <c r="O2" s="267"/>
      <c r="P2" s="267"/>
      <c r="Q2" s="267"/>
      <c r="R2" s="267"/>
      <c r="S2" s="267"/>
      <c r="T2" s="267"/>
      <c r="U2" s="267"/>
      <c r="V2" s="267"/>
      <c r="W2" s="267"/>
      <c r="X2" s="267" t="s">
        <v>24</v>
      </c>
      <c r="Y2" s="267"/>
      <c r="Z2" s="267"/>
      <c r="AA2" s="267"/>
      <c r="AB2" s="267"/>
      <c r="AC2" s="267"/>
      <c r="AD2" s="267"/>
      <c r="AE2" s="267"/>
      <c r="AF2" s="267"/>
      <c r="AG2" s="267"/>
    </row>
    <row r="3" spans="1:33" ht="15.75" x14ac:dyDescent="0.25">
      <c r="A3" s="173"/>
      <c r="B3" s="234"/>
      <c r="C3" s="266"/>
      <c r="D3" s="235">
        <v>2</v>
      </c>
      <c r="E3" s="235">
        <f t="shared" ref="E3:S3" si="0">D3+1</f>
        <v>3</v>
      </c>
      <c r="F3" s="235">
        <f t="shared" si="0"/>
        <v>4</v>
      </c>
      <c r="G3" s="235">
        <f t="shared" si="0"/>
        <v>5</v>
      </c>
      <c r="H3" s="235">
        <f t="shared" si="0"/>
        <v>6</v>
      </c>
      <c r="I3" s="235">
        <f t="shared" si="0"/>
        <v>7</v>
      </c>
      <c r="J3" s="235">
        <f t="shared" si="0"/>
        <v>8</v>
      </c>
      <c r="K3" s="235">
        <f t="shared" si="0"/>
        <v>9</v>
      </c>
      <c r="L3" s="235">
        <f t="shared" si="0"/>
        <v>10</v>
      </c>
      <c r="M3" s="235">
        <f t="shared" si="0"/>
        <v>11</v>
      </c>
      <c r="N3" s="235">
        <f t="shared" si="0"/>
        <v>12</v>
      </c>
      <c r="O3" s="235">
        <f t="shared" si="0"/>
        <v>13</v>
      </c>
      <c r="P3" s="235">
        <f t="shared" si="0"/>
        <v>14</v>
      </c>
      <c r="Q3" s="235">
        <f t="shared" si="0"/>
        <v>15</v>
      </c>
      <c r="R3" s="235">
        <f t="shared" si="0"/>
        <v>16</v>
      </c>
      <c r="S3" s="235">
        <f t="shared" si="0"/>
        <v>17</v>
      </c>
      <c r="T3" s="235">
        <f t="shared" ref="T3" si="1">S3+1</f>
        <v>18</v>
      </c>
      <c r="U3" s="235">
        <f t="shared" ref="U3" si="2">T3+1</f>
        <v>19</v>
      </c>
      <c r="V3" s="235">
        <f t="shared" ref="V3" si="3">U3+1</f>
        <v>20</v>
      </c>
      <c r="W3" s="235">
        <f t="shared" ref="W3" si="4">V3+1</f>
        <v>21</v>
      </c>
      <c r="X3" s="235">
        <f t="shared" ref="X3" si="5">W3+1</f>
        <v>22</v>
      </c>
      <c r="Y3" s="235">
        <f t="shared" ref="Y3" si="6">X3+1</f>
        <v>23</v>
      </c>
      <c r="Z3" s="235">
        <f t="shared" ref="Z3" si="7">Y3+1</f>
        <v>24</v>
      </c>
      <c r="AA3" s="235">
        <f t="shared" ref="AA3" si="8">Z3+1</f>
        <v>25</v>
      </c>
      <c r="AB3" s="235">
        <f t="shared" ref="AB3" si="9">AA3+1</f>
        <v>26</v>
      </c>
      <c r="AC3" s="235">
        <f t="shared" ref="AC3" si="10">AB3+1</f>
        <v>27</v>
      </c>
      <c r="AD3" s="235">
        <f t="shared" ref="AD3" si="11">AC3+1</f>
        <v>28</v>
      </c>
      <c r="AE3" s="235">
        <f t="shared" ref="AE3" si="12">AD3+1</f>
        <v>29</v>
      </c>
      <c r="AF3" s="235">
        <f t="shared" ref="AF3" si="13">AE3+1</f>
        <v>30</v>
      </c>
      <c r="AG3" s="235">
        <f t="shared" ref="AG3" si="14">AF3+1</f>
        <v>31</v>
      </c>
    </row>
    <row r="4" spans="1:33" ht="15.75" x14ac:dyDescent="0.25">
      <c r="A4" s="173"/>
      <c r="B4" s="174">
        <v>1</v>
      </c>
      <c r="C4" s="191" t="s">
        <v>110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</row>
    <row r="5" spans="1:33" ht="15.75" x14ac:dyDescent="0.25">
      <c r="A5" s="173"/>
      <c r="B5" s="174"/>
      <c r="C5" s="193" t="s">
        <v>111</v>
      </c>
      <c r="D5" s="194">
        <f>pendapatan!E24</f>
        <v>501829</v>
      </c>
      <c r="E5" s="194">
        <f>pendapatan!F24</f>
        <v>552011.90000000014</v>
      </c>
      <c r="F5" s="194">
        <f>pendapatan!G24</f>
        <v>607213.09000000008</v>
      </c>
      <c r="G5" s="194">
        <f>pendapatan!H24</f>
        <v>667934.39899999998</v>
      </c>
      <c r="H5" s="194">
        <f>pendapatan!I24</f>
        <v>734727.83889999997</v>
      </c>
      <c r="I5" s="194">
        <f>pendapatan!J24</f>
        <v>808200.62278999994</v>
      </c>
      <c r="J5" s="194">
        <f>pendapatan!K24</f>
        <v>889020.68506900012</v>
      </c>
      <c r="K5" s="194">
        <f>pendapatan!L24</f>
        <v>977922.75357589999</v>
      </c>
      <c r="L5" s="194">
        <f>pendapatan!M24</f>
        <v>1075715.0289334902</v>
      </c>
      <c r="M5" s="194">
        <f>pendapatan!N24</f>
        <v>1183286.5318268391</v>
      </c>
      <c r="N5" s="194">
        <f>pendapatan!O24</f>
        <v>1357709.463707183</v>
      </c>
      <c r="O5" s="194">
        <f>pendapatan!P24</f>
        <v>1493480.4100779013</v>
      </c>
      <c r="P5" s="194">
        <f>pendapatan!Q24</f>
        <v>1642828.4510856916</v>
      </c>
      <c r="Q5" s="194">
        <f>pendapatan!R24</f>
        <v>1807111.2961942605</v>
      </c>
      <c r="R5" s="194">
        <f>pendapatan!S24</f>
        <v>1987822.4258136868</v>
      </c>
      <c r="S5" s="194">
        <f>pendapatan!T24</f>
        <v>2186604.6683950555</v>
      </c>
      <c r="T5" s="194">
        <f>pendapatan!U24</f>
        <v>2405265.1352345604</v>
      </c>
      <c r="U5" s="194">
        <f>pendapatan!V24</f>
        <v>2645791.6487580165</v>
      </c>
      <c r="V5" s="194">
        <f>pendapatan!W24</f>
        <v>2910370.8136338182</v>
      </c>
      <c r="W5" s="194">
        <f>pendapatan!X24</f>
        <v>3201407.8949972005</v>
      </c>
      <c r="X5" s="194">
        <f>pendapatan!Y24</f>
        <v>3521548.6844969215</v>
      </c>
      <c r="Y5" s="194">
        <f>pendapatan!Z24</f>
        <v>3873703.5529466127</v>
      </c>
      <c r="Z5" s="194">
        <f>pendapatan!AA24</f>
        <v>4261073.9082412748</v>
      </c>
      <c r="AA5" s="194">
        <f>pendapatan!AB24</f>
        <v>4687181.2990654008</v>
      </c>
      <c r="AB5" s="194">
        <f>pendapatan!AC24</f>
        <v>5155899.4289719416</v>
      </c>
      <c r="AC5" s="194">
        <f>pendapatan!AD24</f>
        <v>5671489.3718691366</v>
      </c>
      <c r="AD5" s="194">
        <f>pendapatan!AE24</f>
        <v>6238638.3090560492</v>
      </c>
      <c r="AE5" s="194">
        <f>pendapatan!AF24</f>
        <v>6862502.1399616534</v>
      </c>
      <c r="AF5" s="194">
        <f>pendapatan!AG24</f>
        <v>7548752.3539578198</v>
      </c>
      <c r="AG5" s="194">
        <f>pendapatan!AH24</f>
        <v>8303627.5893536005</v>
      </c>
    </row>
    <row r="6" spans="1:33" ht="15.75" x14ac:dyDescent="0.25">
      <c r="A6" s="173"/>
      <c r="B6" s="174"/>
      <c r="C6" s="193" t="s">
        <v>112</v>
      </c>
      <c r="D6" s="195">
        <v>0</v>
      </c>
      <c r="E6" s="195">
        <v>0</v>
      </c>
      <c r="F6" s="195">
        <v>0</v>
      </c>
      <c r="G6" s="195">
        <v>0</v>
      </c>
      <c r="H6" s="195">
        <v>0</v>
      </c>
      <c r="I6" s="195">
        <v>0</v>
      </c>
      <c r="J6" s="195">
        <v>0</v>
      </c>
      <c r="K6" s="195">
        <v>0</v>
      </c>
      <c r="L6" s="195">
        <v>0</v>
      </c>
      <c r="M6" s="195">
        <v>0</v>
      </c>
      <c r="N6" s="195">
        <v>0</v>
      </c>
      <c r="O6" s="195">
        <v>0</v>
      </c>
      <c r="P6" s="195">
        <v>0</v>
      </c>
      <c r="Q6" s="195">
        <v>0</v>
      </c>
      <c r="R6" s="195">
        <v>0</v>
      </c>
      <c r="S6" s="195">
        <v>0</v>
      </c>
      <c r="T6" s="195">
        <v>0</v>
      </c>
      <c r="U6" s="195">
        <v>0</v>
      </c>
      <c r="V6" s="195">
        <v>0</v>
      </c>
      <c r="W6" s="195">
        <v>0</v>
      </c>
      <c r="X6" s="195">
        <v>0</v>
      </c>
      <c r="Y6" s="195">
        <v>0</v>
      </c>
      <c r="Z6" s="195">
        <v>0</v>
      </c>
      <c r="AA6" s="195">
        <v>0</v>
      </c>
      <c r="AB6" s="195">
        <v>0</v>
      </c>
      <c r="AC6" s="195">
        <v>0</v>
      </c>
      <c r="AD6" s="195">
        <v>0</v>
      </c>
      <c r="AE6" s="195">
        <v>0</v>
      </c>
      <c r="AF6" s="195">
        <v>0</v>
      </c>
      <c r="AG6" s="195">
        <v>0</v>
      </c>
    </row>
    <row r="7" spans="1:33" ht="15.75" x14ac:dyDescent="0.25">
      <c r="A7" s="173"/>
      <c r="B7" s="174"/>
      <c r="C7" s="191" t="s">
        <v>113</v>
      </c>
      <c r="D7" s="196">
        <f t="shared" ref="D7:R7" si="15">SUM(D5:D6)</f>
        <v>501829</v>
      </c>
      <c r="E7" s="196">
        <f t="shared" si="15"/>
        <v>552011.90000000014</v>
      </c>
      <c r="F7" s="196">
        <f t="shared" si="15"/>
        <v>607213.09000000008</v>
      </c>
      <c r="G7" s="196">
        <f t="shared" si="15"/>
        <v>667934.39899999998</v>
      </c>
      <c r="H7" s="196">
        <f t="shared" si="15"/>
        <v>734727.83889999997</v>
      </c>
      <c r="I7" s="196">
        <f t="shared" si="15"/>
        <v>808200.62278999994</v>
      </c>
      <c r="J7" s="196">
        <f t="shared" si="15"/>
        <v>889020.68506900012</v>
      </c>
      <c r="K7" s="196">
        <f t="shared" si="15"/>
        <v>977922.75357589999</v>
      </c>
      <c r="L7" s="196">
        <f t="shared" si="15"/>
        <v>1075715.0289334902</v>
      </c>
      <c r="M7" s="196">
        <f t="shared" si="15"/>
        <v>1183286.5318268391</v>
      </c>
      <c r="N7" s="196">
        <f t="shared" si="15"/>
        <v>1357709.463707183</v>
      </c>
      <c r="O7" s="196">
        <f t="shared" si="15"/>
        <v>1493480.4100779013</v>
      </c>
      <c r="P7" s="196">
        <f t="shared" si="15"/>
        <v>1642828.4510856916</v>
      </c>
      <c r="Q7" s="196">
        <f t="shared" si="15"/>
        <v>1807111.2961942605</v>
      </c>
      <c r="R7" s="196">
        <f t="shared" si="15"/>
        <v>1987822.4258136868</v>
      </c>
      <c r="S7" s="196">
        <f t="shared" ref="S7:W7" si="16">SUM(S5:S6)</f>
        <v>2186604.6683950555</v>
      </c>
      <c r="T7" s="196">
        <f t="shared" si="16"/>
        <v>2405265.1352345604</v>
      </c>
      <c r="U7" s="196">
        <f t="shared" si="16"/>
        <v>2645791.6487580165</v>
      </c>
      <c r="V7" s="196">
        <f t="shared" si="16"/>
        <v>2910370.8136338182</v>
      </c>
      <c r="W7" s="196">
        <f t="shared" si="16"/>
        <v>3201407.8949972005</v>
      </c>
      <c r="X7" s="196">
        <f t="shared" ref="X7:AG7" si="17">SUM(X5:X6)</f>
        <v>3521548.6844969215</v>
      </c>
      <c r="Y7" s="196">
        <f t="shared" si="17"/>
        <v>3873703.5529466127</v>
      </c>
      <c r="Z7" s="196">
        <f t="shared" si="17"/>
        <v>4261073.9082412748</v>
      </c>
      <c r="AA7" s="196">
        <f t="shared" si="17"/>
        <v>4687181.2990654008</v>
      </c>
      <c r="AB7" s="196">
        <f t="shared" si="17"/>
        <v>5155899.4289719416</v>
      </c>
      <c r="AC7" s="196">
        <f t="shared" si="17"/>
        <v>5671489.3718691366</v>
      </c>
      <c r="AD7" s="196">
        <f t="shared" si="17"/>
        <v>6238638.3090560492</v>
      </c>
      <c r="AE7" s="196">
        <f t="shared" si="17"/>
        <v>6862502.1399616534</v>
      </c>
      <c r="AF7" s="196">
        <f t="shared" si="17"/>
        <v>7548752.3539578198</v>
      </c>
      <c r="AG7" s="196">
        <f t="shared" si="17"/>
        <v>8303627.5893536005</v>
      </c>
    </row>
    <row r="8" spans="1:33" ht="15.75" x14ac:dyDescent="0.25">
      <c r="A8" s="173"/>
      <c r="B8" s="174">
        <v>2</v>
      </c>
      <c r="C8" s="197" t="s">
        <v>114</v>
      </c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</row>
    <row r="9" spans="1:33" ht="15.75" x14ac:dyDescent="0.25">
      <c r="A9" s="173"/>
      <c r="B9" s="174"/>
      <c r="C9" s="199" t="s">
        <v>115</v>
      </c>
      <c r="D9" s="200">
        <f>-'energi, SDM, maintanance'!D6</f>
        <v>-211352</v>
      </c>
      <c r="E9" s="200">
        <f>-'energi, SDM, maintanance'!E6</f>
        <v>-221919.6</v>
      </c>
      <c r="F9" s="200">
        <f>-'energi, SDM, maintanance'!F6</f>
        <v>-233015.58000000002</v>
      </c>
      <c r="G9" s="200">
        <f>-'energi, SDM, maintanance'!G6</f>
        <v>-244666.35900000003</v>
      </c>
      <c r="H9" s="200">
        <f>-'energi, SDM, maintanance'!H6</f>
        <v>-256899.67695000002</v>
      </c>
      <c r="I9" s="200">
        <f>-'energi, SDM, maintanance'!I6</f>
        <v>-269744.66079750005</v>
      </c>
      <c r="J9" s="200">
        <f>-'energi, SDM, maintanance'!J6</f>
        <v>-283231.89383737504</v>
      </c>
      <c r="K9" s="200">
        <f>-'energi, SDM, maintanance'!K6</f>
        <v>-297393.4885292438</v>
      </c>
      <c r="L9" s="200">
        <f>-'energi, SDM, maintanance'!L6</f>
        <v>-312263.16295570601</v>
      </c>
      <c r="M9" s="200">
        <f>-'energi, SDM, maintanance'!M6</f>
        <v>-327876.3211034913</v>
      </c>
      <c r="N9" s="200">
        <f>-'energi, SDM, maintanance'!N6</f>
        <v>-344270.13715866586</v>
      </c>
      <c r="O9" s="200">
        <f>-'energi, SDM, maintanance'!O6</f>
        <v>-361483.64401659917</v>
      </c>
      <c r="P9" s="200">
        <f>-'energi, SDM, maintanance'!P6</f>
        <v>-379557.82621742913</v>
      </c>
      <c r="Q9" s="200">
        <f>-'energi, SDM, maintanance'!Q6</f>
        <v>-398535.71752830059</v>
      </c>
      <c r="R9" s="200">
        <f>-'energi, SDM, maintanance'!R6</f>
        <v>-418462.50340471562</v>
      </c>
      <c r="S9" s="200">
        <f>-'energi, SDM, maintanance'!S6</f>
        <v>-439385.62857495144</v>
      </c>
      <c r="T9" s="200">
        <f>-'energi, SDM, maintanance'!T6</f>
        <v>-461354.91000369901</v>
      </c>
      <c r="U9" s="200">
        <f>-'energi, SDM, maintanance'!U6</f>
        <v>-484422.65550388396</v>
      </c>
      <c r="V9" s="200">
        <f>-'energi, SDM, maintanance'!V6</f>
        <v>-508643.78827907814</v>
      </c>
      <c r="W9" s="200">
        <f>-'energi, SDM, maintanance'!W6</f>
        <v>-534075.97769303201</v>
      </c>
      <c r="X9" s="200">
        <f>-'energi, SDM, maintanance'!X6</f>
        <v>-560779.77657768363</v>
      </c>
      <c r="Y9" s="200">
        <f>-'energi, SDM, maintanance'!Y6</f>
        <v>-588818.76540656784</v>
      </c>
      <c r="Z9" s="200">
        <f>-'energi, SDM, maintanance'!Z6</f>
        <v>-618259.70367689617</v>
      </c>
      <c r="AA9" s="200">
        <f>-'energi, SDM, maintanance'!AA6</f>
        <v>-649172.68886074098</v>
      </c>
      <c r="AB9" s="200">
        <f>-'energi, SDM, maintanance'!AB6</f>
        <v>-681631.32330377807</v>
      </c>
      <c r="AC9" s="200">
        <f>-'energi, SDM, maintanance'!AC6</f>
        <v>-715712.88946896698</v>
      </c>
      <c r="AD9" s="200">
        <f>-'energi, SDM, maintanance'!AD6</f>
        <v>-751498.53394241538</v>
      </c>
      <c r="AE9" s="200">
        <f>-'energi, SDM, maintanance'!AE6</f>
        <v>-789073.46063953615</v>
      </c>
      <c r="AF9" s="200">
        <f>-'energi, SDM, maintanance'!AF6</f>
        <v>-828527.13367151294</v>
      </c>
      <c r="AG9" s="200">
        <f>-'energi, SDM, maintanance'!AG6</f>
        <v>-869953.49035508861</v>
      </c>
    </row>
    <row r="10" spans="1:33" ht="15.75" x14ac:dyDescent="0.25">
      <c r="A10" s="173"/>
      <c r="B10" s="174"/>
      <c r="C10" s="199" t="s">
        <v>13</v>
      </c>
      <c r="D10" s="200">
        <f>-'energi, SDM, maintanance'!D7</f>
        <v>-14105</v>
      </c>
      <c r="E10" s="200">
        <f>-'energi, SDM, maintanance'!E7</f>
        <v>-14810.25</v>
      </c>
      <c r="F10" s="200">
        <f>-'energi, SDM, maintanance'!F7</f>
        <v>-15550.762500000001</v>
      </c>
      <c r="G10" s="200">
        <f>-'energi, SDM, maintanance'!G7</f>
        <v>-16328.300625</v>
      </c>
      <c r="H10" s="200">
        <f>-'energi, SDM, maintanance'!H7</f>
        <v>-17144.715656249999</v>
      </c>
      <c r="I10" s="200">
        <f>-'energi, SDM, maintanance'!I7</f>
        <v>-18001.951439062497</v>
      </c>
      <c r="J10" s="200">
        <f>-'energi, SDM, maintanance'!J7</f>
        <v>-18902.049011015621</v>
      </c>
      <c r="K10" s="200">
        <f>-'energi, SDM, maintanance'!K7</f>
        <v>-19847.151461566402</v>
      </c>
      <c r="L10" s="200">
        <f>-'energi, SDM, maintanance'!L7</f>
        <v>-20839.509034644721</v>
      </c>
      <c r="M10" s="200">
        <f>-'energi, SDM, maintanance'!M7</f>
        <v>-21881.484486376958</v>
      </c>
      <c r="N10" s="200">
        <f>-'energi, SDM, maintanance'!N7</f>
        <v>-22975.558710695805</v>
      </c>
      <c r="O10" s="200">
        <f>-'energi, SDM, maintanance'!O7</f>
        <v>-24124.336646230593</v>
      </c>
      <c r="P10" s="200">
        <f>-'energi, SDM, maintanance'!P7</f>
        <v>-25330.553478542122</v>
      </c>
      <c r="Q10" s="200">
        <f>-'energi, SDM, maintanance'!Q7</f>
        <v>-26597.081152469229</v>
      </c>
      <c r="R10" s="200">
        <f>-'energi, SDM, maintanance'!R7</f>
        <v>-27926.935210092692</v>
      </c>
      <c r="S10" s="200">
        <f>-'energi, SDM, maintanance'!S7</f>
        <v>-29323.281970597327</v>
      </c>
      <c r="T10" s="200">
        <f>-'energi, SDM, maintanance'!T7</f>
        <v>-30789.446069127192</v>
      </c>
      <c r="U10" s="200">
        <f>-'energi, SDM, maintanance'!U7</f>
        <v>-32328.918372583554</v>
      </c>
      <c r="V10" s="200">
        <f>-'energi, SDM, maintanance'!V7</f>
        <v>-33945.364291212732</v>
      </c>
      <c r="W10" s="200">
        <f>-'energi, SDM, maintanance'!W7</f>
        <v>-35642.63250577337</v>
      </c>
      <c r="X10" s="200">
        <f>-'energi, SDM, maintanance'!X7</f>
        <v>-37424.764131062038</v>
      </c>
      <c r="Y10" s="200">
        <f>-'energi, SDM, maintanance'!Y7</f>
        <v>-39296.002337615137</v>
      </c>
      <c r="Z10" s="200">
        <f>-'energi, SDM, maintanance'!Z7</f>
        <v>-41260.80245449589</v>
      </c>
      <c r="AA10" s="200">
        <f>-'energi, SDM, maintanance'!AA7</f>
        <v>-43323.842577220683</v>
      </c>
      <c r="AB10" s="200">
        <f>-'energi, SDM, maintanance'!AB7</f>
        <v>-45490.034706081715</v>
      </c>
      <c r="AC10" s="200">
        <f>-'energi, SDM, maintanance'!AC7</f>
        <v>-47764.536441385804</v>
      </c>
      <c r="AD10" s="200">
        <f>-'energi, SDM, maintanance'!AD7</f>
        <v>-50152.763263455097</v>
      </c>
      <c r="AE10" s="200">
        <f>-'energi, SDM, maintanance'!AE7</f>
        <v>-52660.401426627854</v>
      </c>
      <c r="AF10" s="200">
        <f>-'energi, SDM, maintanance'!AF7</f>
        <v>-55293.421497959243</v>
      </c>
      <c r="AG10" s="200">
        <f>-'energi, SDM, maintanance'!AG7</f>
        <v>-58058.092572857204</v>
      </c>
    </row>
    <row r="11" spans="1:33" ht="15.75" x14ac:dyDescent="0.25">
      <c r="A11" s="173"/>
      <c r="B11" s="174"/>
      <c r="C11" s="199" t="s">
        <v>116</v>
      </c>
      <c r="D11" s="200">
        <f>-'energi, SDM, maintanance'!D8</f>
        <v>-57137</v>
      </c>
      <c r="E11" s="200">
        <f>-'energi, SDM, maintanance'!E8</f>
        <v>-59993.85</v>
      </c>
      <c r="F11" s="200">
        <f>-'energi, SDM, maintanance'!F8</f>
        <v>-62993.542499999996</v>
      </c>
      <c r="G11" s="200">
        <f>-'energi, SDM, maintanance'!G8</f>
        <v>-66143.219624999998</v>
      </c>
      <c r="H11" s="200">
        <f>-'energi, SDM, maintanance'!H8</f>
        <v>-69450.380606249993</v>
      </c>
      <c r="I11" s="200">
        <f>-'energi, SDM, maintanance'!I8</f>
        <v>-72922.899636562492</v>
      </c>
      <c r="J11" s="200">
        <f>-'energi, SDM, maintanance'!J8</f>
        <v>-76569.044618390617</v>
      </c>
      <c r="K11" s="200">
        <f>-'energi, SDM, maintanance'!K8</f>
        <v>-80397.496849310148</v>
      </c>
      <c r="L11" s="200">
        <f>-'energi, SDM, maintanance'!L8</f>
        <v>-84417.371691775654</v>
      </c>
      <c r="M11" s="200">
        <f>-'energi, SDM, maintanance'!M8</f>
        <v>-202912.24027636443</v>
      </c>
      <c r="N11" s="200">
        <f>-'energi, SDM, maintanance'!N8</f>
        <v>-93070.152290182654</v>
      </c>
      <c r="O11" s="200">
        <f>-'energi, SDM, maintanance'!O8</f>
        <v>-97723.659904691784</v>
      </c>
      <c r="P11" s="200">
        <f>-'energi, SDM, maintanance'!P8</f>
        <v>-102609.84289992637</v>
      </c>
      <c r="Q11" s="200">
        <f>-'energi, SDM, maintanance'!Q8</f>
        <v>-107740.33504492269</v>
      </c>
      <c r="R11" s="200">
        <f>-'energi, SDM, maintanance'!R8</f>
        <v>-113127.35179716881</v>
      </c>
      <c r="S11" s="200">
        <f>-'energi, SDM, maintanance'!S8</f>
        <v>-118783.71938702726</v>
      </c>
      <c r="T11" s="200">
        <f>-'energi, SDM, maintanance'!T8</f>
        <v>-124722.90535637863</v>
      </c>
      <c r="U11" s="200">
        <f>-'energi, SDM, maintanance'!U8</f>
        <v>-130959.05062419757</v>
      </c>
      <c r="V11" s="200">
        <f>-'energi, SDM, maintanance'!V8</f>
        <v>-137507.00315540744</v>
      </c>
      <c r="W11" s="200">
        <f>-'energi, SDM, maintanance'!W8</f>
        <v>-258656.35331317782</v>
      </c>
      <c r="X11" s="200">
        <f>-'energi, SDM, maintanance'!X8</f>
        <v>-151601.4709788367</v>
      </c>
      <c r="Y11" s="200">
        <f>-'energi, SDM, maintanance'!Y8</f>
        <v>-159181.54452777855</v>
      </c>
      <c r="Z11" s="200">
        <f>-'energi, SDM, maintanance'!Z8</f>
        <v>-167140.62175416749</v>
      </c>
      <c r="AA11" s="200">
        <f>-'energi, SDM, maintanance'!AA8</f>
        <v>-175497.65284187585</v>
      </c>
      <c r="AB11" s="200">
        <f>-'energi, SDM, maintanance'!AB8</f>
        <v>-184272.53548396964</v>
      </c>
      <c r="AC11" s="200">
        <f>-'energi, SDM, maintanance'!AC8</f>
        <v>-193486.16225816813</v>
      </c>
      <c r="AD11" s="200">
        <f>-'energi, SDM, maintanance'!AD8</f>
        <v>-203160.47037107655</v>
      </c>
      <c r="AE11" s="200">
        <f>-'energi, SDM, maintanance'!AE8</f>
        <v>-213318.49388963036</v>
      </c>
      <c r="AF11" s="200">
        <f>-'energi, SDM, maintanance'!AF8</f>
        <v>-223984.41858411187</v>
      </c>
      <c r="AG11" s="200">
        <f>-'energi, SDM, maintanance'!AG8</f>
        <v>-349457.6395133175</v>
      </c>
    </row>
    <row r="12" spans="1:33" ht="15.75" x14ac:dyDescent="0.25">
      <c r="A12" s="173"/>
      <c r="B12" s="174"/>
      <c r="C12" s="197" t="s">
        <v>130</v>
      </c>
      <c r="D12" s="201">
        <f t="shared" ref="D12:R12" si="18">SUM(D9:D11)</f>
        <v>-282594</v>
      </c>
      <c r="E12" s="201">
        <f t="shared" si="18"/>
        <v>-296723.7</v>
      </c>
      <c r="F12" s="201">
        <f t="shared" si="18"/>
        <v>-311559.88500000001</v>
      </c>
      <c r="G12" s="201">
        <f t="shared" si="18"/>
        <v>-327137.87925</v>
      </c>
      <c r="H12" s="201">
        <f t="shared" si="18"/>
        <v>-343494.77321250003</v>
      </c>
      <c r="I12" s="201">
        <f t="shared" si="18"/>
        <v>-360669.51187312504</v>
      </c>
      <c r="J12" s="201">
        <f t="shared" si="18"/>
        <v>-378702.98746678128</v>
      </c>
      <c r="K12" s="201">
        <f t="shared" si="18"/>
        <v>-397638.13684012031</v>
      </c>
      <c r="L12" s="201">
        <f t="shared" si="18"/>
        <v>-417520.04368212633</v>
      </c>
      <c r="M12" s="201">
        <f t="shared" si="18"/>
        <v>-552670.04586623271</v>
      </c>
      <c r="N12" s="201">
        <f t="shared" si="18"/>
        <v>-460315.84815954434</v>
      </c>
      <c r="O12" s="201">
        <f t="shared" si="18"/>
        <v>-483331.64056752156</v>
      </c>
      <c r="P12" s="201">
        <f t="shared" si="18"/>
        <v>-507498.22259589762</v>
      </c>
      <c r="Q12" s="201">
        <f t="shared" si="18"/>
        <v>-532873.13372569252</v>
      </c>
      <c r="R12" s="201">
        <f t="shared" si="18"/>
        <v>-559516.7904119771</v>
      </c>
      <c r="S12" s="201">
        <f t="shared" ref="S12:W12" si="19">SUM(S9:S11)</f>
        <v>-587492.62993257609</v>
      </c>
      <c r="T12" s="201">
        <f t="shared" si="19"/>
        <v>-616867.26142920484</v>
      </c>
      <c r="U12" s="201">
        <f t="shared" si="19"/>
        <v>-647710.62450066512</v>
      </c>
      <c r="V12" s="201">
        <f t="shared" si="19"/>
        <v>-680096.15572569822</v>
      </c>
      <c r="W12" s="201">
        <f t="shared" si="19"/>
        <v>-828374.96351198317</v>
      </c>
      <c r="X12" s="201">
        <f t="shared" ref="X12:AG12" si="20">SUM(X9:X11)</f>
        <v>-749806.01168758236</v>
      </c>
      <c r="Y12" s="201">
        <f t="shared" si="20"/>
        <v>-787296.31227196148</v>
      </c>
      <c r="Z12" s="201">
        <f t="shared" si="20"/>
        <v>-826661.12788555957</v>
      </c>
      <c r="AA12" s="201">
        <f t="shared" si="20"/>
        <v>-867994.18427983741</v>
      </c>
      <c r="AB12" s="201">
        <f t="shared" si="20"/>
        <v>-911393.89349382941</v>
      </c>
      <c r="AC12" s="201">
        <f t="shared" si="20"/>
        <v>-956963.58816852083</v>
      </c>
      <c r="AD12" s="201">
        <f t="shared" si="20"/>
        <v>-1004811.7675769471</v>
      </c>
      <c r="AE12" s="201">
        <f t="shared" si="20"/>
        <v>-1055052.3559557945</v>
      </c>
      <c r="AF12" s="201">
        <f t="shared" si="20"/>
        <v>-1107804.9737535841</v>
      </c>
      <c r="AG12" s="201">
        <f t="shared" si="20"/>
        <v>-1277469.2224412633</v>
      </c>
    </row>
    <row r="13" spans="1:33" ht="15.75" x14ac:dyDescent="0.25">
      <c r="A13" s="173"/>
      <c r="B13" s="174">
        <v>3</v>
      </c>
      <c r="C13" s="202" t="s">
        <v>117</v>
      </c>
      <c r="D13" s="203">
        <f t="shared" ref="D13:R13" si="21">D7+D12</f>
        <v>219235</v>
      </c>
      <c r="E13" s="203">
        <f t="shared" si="21"/>
        <v>255288.20000000013</v>
      </c>
      <c r="F13" s="203">
        <f t="shared" si="21"/>
        <v>295653.20500000007</v>
      </c>
      <c r="G13" s="203">
        <f t="shared" si="21"/>
        <v>340796.51974999998</v>
      </c>
      <c r="H13" s="203">
        <f t="shared" si="21"/>
        <v>391233.06568749994</v>
      </c>
      <c r="I13" s="203">
        <f t="shared" si="21"/>
        <v>447531.1109168749</v>
      </c>
      <c r="J13" s="203">
        <f t="shared" si="21"/>
        <v>510317.69760221883</v>
      </c>
      <c r="K13" s="203">
        <f t="shared" si="21"/>
        <v>580284.61673577968</v>
      </c>
      <c r="L13" s="203">
        <f t="shared" si="21"/>
        <v>658194.98525136383</v>
      </c>
      <c r="M13" s="203">
        <f t="shared" si="21"/>
        <v>630616.48596060637</v>
      </c>
      <c r="N13" s="203">
        <f t="shared" si="21"/>
        <v>897393.61554763862</v>
      </c>
      <c r="O13" s="203">
        <f t="shared" si="21"/>
        <v>1010148.7695103798</v>
      </c>
      <c r="P13" s="203">
        <f t="shared" si="21"/>
        <v>1135330.2284897938</v>
      </c>
      <c r="Q13" s="203">
        <f t="shared" si="21"/>
        <v>1274238.162468568</v>
      </c>
      <c r="R13" s="203">
        <f t="shared" si="21"/>
        <v>1428305.6354017097</v>
      </c>
      <c r="S13" s="203">
        <f t="shared" ref="S13:W13" si="22">S7+S12</f>
        <v>1599112.0384624794</v>
      </c>
      <c r="T13" s="203">
        <f t="shared" si="22"/>
        <v>1788397.8738053555</v>
      </c>
      <c r="U13" s="203">
        <f t="shared" si="22"/>
        <v>1998081.0242573514</v>
      </c>
      <c r="V13" s="203">
        <f t="shared" si="22"/>
        <v>2230274.6579081202</v>
      </c>
      <c r="W13" s="203">
        <f t="shared" si="22"/>
        <v>2373032.9314852171</v>
      </c>
      <c r="X13" s="203">
        <f t="shared" ref="X13:AG13" si="23">X7+X12</f>
        <v>2771742.6728093391</v>
      </c>
      <c r="Y13" s="203">
        <f t="shared" si="23"/>
        <v>3086407.2406746512</v>
      </c>
      <c r="Z13" s="203">
        <f t="shared" si="23"/>
        <v>3434412.7803557152</v>
      </c>
      <c r="AA13" s="203">
        <f t="shared" si="23"/>
        <v>3819187.1147855632</v>
      </c>
      <c r="AB13" s="203">
        <f t="shared" si="23"/>
        <v>4244505.5354781123</v>
      </c>
      <c r="AC13" s="203">
        <f t="shared" si="23"/>
        <v>4714525.7837006161</v>
      </c>
      <c r="AD13" s="203">
        <f t="shared" si="23"/>
        <v>5233826.5414791023</v>
      </c>
      <c r="AE13" s="203">
        <f t="shared" si="23"/>
        <v>5807449.7840058589</v>
      </c>
      <c r="AF13" s="203">
        <f t="shared" si="23"/>
        <v>6440947.3802042361</v>
      </c>
      <c r="AG13" s="203">
        <f t="shared" si="23"/>
        <v>7026158.366912337</v>
      </c>
    </row>
    <row r="14" spans="1:33" ht="15.75" x14ac:dyDescent="0.25">
      <c r="A14" s="173"/>
      <c r="B14" s="174">
        <v>4</v>
      </c>
      <c r="C14" s="202" t="s">
        <v>119</v>
      </c>
      <c r="D14" s="204">
        <f>-'depresiasi, bunga, asuransi'!D6</f>
        <v>-101290</v>
      </c>
      <c r="E14" s="204">
        <f>-'depresiasi, bunga, asuransi'!E6</f>
        <v>-101290</v>
      </c>
      <c r="F14" s="204">
        <f>-'depresiasi, bunga, asuransi'!F6</f>
        <v>-101290</v>
      </c>
      <c r="G14" s="204">
        <f>-'depresiasi, bunga, asuransi'!G6</f>
        <v>-101290</v>
      </c>
      <c r="H14" s="204">
        <f>-'depresiasi, bunga, asuransi'!H6</f>
        <v>-101290</v>
      </c>
      <c r="I14" s="204">
        <f>-'depresiasi, bunga, asuransi'!I6</f>
        <v>-101290</v>
      </c>
      <c r="J14" s="204">
        <f>-'depresiasi, bunga, asuransi'!J6</f>
        <v>-101290</v>
      </c>
      <c r="K14" s="204">
        <f>-'depresiasi, bunga, asuransi'!K6</f>
        <v>-101290</v>
      </c>
      <c r="L14" s="204">
        <f>-'depresiasi, bunga, asuransi'!L6</f>
        <v>-101290</v>
      </c>
      <c r="M14" s="204">
        <f>-'depresiasi, bunga, asuransi'!M6</f>
        <v>-101290</v>
      </c>
      <c r="N14" s="204">
        <f>-'depresiasi, bunga, asuransi'!N6</f>
        <v>-101290</v>
      </c>
      <c r="O14" s="204">
        <f>-'depresiasi, bunga, asuransi'!O6</f>
        <v>-101290</v>
      </c>
      <c r="P14" s="204">
        <f>-'depresiasi, bunga, asuransi'!P6</f>
        <v>-101290</v>
      </c>
      <c r="Q14" s="204">
        <f>-'depresiasi, bunga, asuransi'!Q6</f>
        <v>-101290</v>
      </c>
      <c r="R14" s="204">
        <f>-'depresiasi, bunga, asuransi'!R6</f>
        <v>-101290</v>
      </c>
      <c r="S14" s="204">
        <f>-'depresiasi, bunga, asuransi'!S6</f>
        <v>-101290</v>
      </c>
      <c r="T14" s="204">
        <f>-'depresiasi, bunga, asuransi'!T6</f>
        <v>-101290</v>
      </c>
      <c r="U14" s="204">
        <f>-'depresiasi, bunga, asuransi'!U6</f>
        <v>-101290</v>
      </c>
      <c r="V14" s="204">
        <f>-'depresiasi, bunga, asuransi'!V6</f>
        <v>-101290</v>
      </c>
      <c r="W14" s="204">
        <f>-'depresiasi, bunga, asuransi'!W6</f>
        <v>-101290</v>
      </c>
      <c r="X14" s="204">
        <f>-'depresiasi, bunga, asuransi'!X6</f>
        <v>-101290</v>
      </c>
      <c r="Y14" s="204">
        <f>-'depresiasi, bunga, asuransi'!Y6</f>
        <v>-101290</v>
      </c>
      <c r="Z14" s="204">
        <f>-'depresiasi, bunga, asuransi'!Z6</f>
        <v>-101290</v>
      </c>
      <c r="AA14" s="204">
        <f>-'depresiasi, bunga, asuransi'!AA6</f>
        <v>-101290</v>
      </c>
      <c r="AB14" s="204">
        <f>-'depresiasi, bunga, asuransi'!AB6</f>
        <v>-101290</v>
      </c>
      <c r="AC14" s="204">
        <f>-'depresiasi, bunga, asuransi'!AC6</f>
        <v>-101290</v>
      </c>
      <c r="AD14" s="204">
        <f>-'depresiasi, bunga, asuransi'!AD6</f>
        <v>-101290</v>
      </c>
      <c r="AE14" s="204">
        <f>-'depresiasi, bunga, asuransi'!AE6</f>
        <v>-101290</v>
      </c>
      <c r="AF14" s="204">
        <f>-'depresiasi, bunga, asuransi'!AF6</f>
        <v>-101290</v>
      </c>
      <c r="AG14" s="204">
        <f>-'depresiasi, bunga, asuransi'!AG6</f>
        <v>-101290</v>
      </c>
    </row>
    <row r="15" spans="1:33" ht="15.75" x14ac:dyDescent="0.25">
      <c r="A15" s="173"/>
      <c r="B15" s="174">
        <v>5</v>
      </c>
      <c r="C15" s="202" t="s">
        <v>118</v>
      </c>
      <c r="D15" s="203">
        <f t="shared" ref="D15:R15" si="24">D13+D14</f>
        <v>117945</v>
      </c>
      <c r="E15" s="203">
        <f t="shared" si="24"/>
        <v>153998.20000000013</v>
      </c>
      <c r="F15" s="203">
        <f t="shared" si="24"/>
        <v>194363.20500000007</v>
      </c>
      <c r="G15" s="203">
        <f t="shared" si="24"/>
        <v>239506.51974999998</v>
      </c>
      <c r="H15" s="203">
        <f t="shared" si="24"/>
        <v>289943.06568749994</v>
      </c>
      <c r="I15" s="203">
        <f t="shared" si="24"/>
        <v>346241.1109168749</v>
      </c>
      <c r="J15" s="203">
        <f t="shared" si="24"/>
        <v>409027.69760221883</v>
      </c>
      <c r="K15" s="203">
        <f t="shared" si="24"/>
        <v>478994.61673577968</v>
      </c>
      <c r="L15" s="203">
        <f t="shared" si="24"/>
        <v>556904.98525136383</v>
      </c>
      <c r="M15" s="203">
        <f t="shared" si="24"/>
        <v>529326.48596060637</v>
      </c>
      <c r="N15" s="203">
        <f t="shared" si="24"/>
        <v>796103.61554763862</v>
      </c>
      <c r="O15" s="203">
        <f t="shared" si="24"/>
        <v>908858.76951037976</v>
      </c>
      <c r="P15" s="203">
        <f t="shared" si="24"/>
        <v>1034040.2284897938</v>
      </c>
      <c r="Q15" s="203">
        <f t="shared" si="24"/>
        <v>1172948.162468568</v>
      </c>
      <c r="R15" s="203">
        <f t="shared" si="24"/>
        <v>1327015.6354017097</v>
      </c>
      <c r="S15" s="203">
        <f t="shared" ref="S15:W15" si="25">S13+S14</f>
        <v>1497822.0384624794</v>
      </c>
      <c r="T15" s="203">
        <f t="shared" si="25"/>
        <v>1687107.8738053555</v>
      </c>
      <c r="U15" s="203">
        <f t="shared" si="25"/>
        <v>1896791.0242573514</v>
      </c>
      <c r="V15" s="203">
        <f t="shared" si="25"/>
        <v>2128984.6579081202</v>
      </c>
      <c r="W15" s="203">
        <f t="shared" si="25"/>
        <v>2271742.9314852171</v>
      </c>
      <c r="X15" s="203">
        <f t="shared" ref="X15:AG15" si="26">X13+X14</f>
        <v>2670452.6728093391</v>
      </c>
      <c r="Y15" s="203">
        <f t="shared" si="26"/>
        <v>2985117.2406746512</v>
      </c>
      <c r="Z15" s="203">
        <f t="shared" si="26"/>
        <v>3333122.7803557152</v>
      </c>
      <c r="AA15" s="203">
        <f t="shared" si="26"/>
        <v>3717897.1147855632</v>
      </c>
      <c r="AB15" s="203">
        <f t="shared" si="26"/>
        <v>4143215.5354781123</v>
      </c>
      <c r="AC15" s="203">
        <f t="shared" si="26"/>
        <v>4613235.7837006161</v>
      </c>
      <c r="AD15" s="203">
        <f t="shared" si="26"/>
        <v>5132536.5414791023</v>
      </c>
      <c r="AE15" s="203">
        <f t="shared" si="26"/>
        <v>5706159.7840058589</v>
      </c>
      <c r="AF15" s="203">
        <f t="shared" si="26"/>
        <v>6339657.3802042361</v>
      </c>
      <c r="AG15" s="203">
        <f t="shared" si="26"/>
        <v>6924868.366912337</v>
      </c>
    </row>
    <row r="16" spans="1:33" ht="15.75" x14ac:dyDescent="0.25">
      <c r="A16" s="173"/>
      <c r="B16" s="174">
        <v>6</v>
      </c>
      <c r="C16" s="205" t="s">
        <v>120</v>
      </c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</row>
    <row r="17" spans="1:33" ht="15.75" x14ac:dyDescent="0.25">
      <c r="A17" s="173"/>
      <c r="B17" s="174"/>
      <c r="C17" s="207" t="s">
        <v>121</v>
      </c>
      <c r="D17" s="208">
        <f>-'depresiasi, bunga, asuransi'!D7</f>
        <v>-236721.3</v>
      </c>
      <c r="E17" s="208">
        <f>-'depresiasi, bunga, asuransi'!E7</f>
        <v>-224516.13000000003</v>
      </c>
      <c r="F17" s="208">
        <f>-'depresiasi, bunga, asuransi'!F7</f>
        <v>-210847.31</v>
      </c>
      <c r="G17" s="208">
        <f>-'depresiasi, bunga, asuransi'!G7</f>
        <v>-195539.37000000002</v>
      </c>
      <c r="H17" s="208">
        <f>-'depresiasi, bunga, asuransi'!H7</f>
        <v>-178395.75000000003</v>
      </c>
      <c r="I17" s="208">
        <f>-'depresiasi, bunga, asuransi'!I7</f>
        <v>-159196.30000000002</v>
      </c>
      <c r="J17" s="208">
        <f>-'depresiasi, bunga, asuransi'!J7</f>
        <v>-137694.47999999998</v>
      </c>
      <c r="K17" s="208">
        <f>-'depresiasi, bunga, asuransi'!K7</f>
        <v>-113614.22</v>
      </c>
      <c r="L17" s="208">
        <f>-'depresiasi, bunga, asuransi'!L7</f>
        <v>-86646.319999999992</v>
      </c>
      <c r="M17" s="208">
        <f>-'depresiasi, bunga, asuransi'!M7</f>
        <v>-56444.45</v>
      </c>
      <c r="N17" s="208">
        <f>-'depresiasi, bunga, asuransi'!N7</f>
        <v>-22620.880000000001</v>
      </c>
      <c r="O17" s="208">
        <f>-'depresiasi, bunga, asuransi'!O7</f>
        <v>-225.86</v>
      </c>
      <c r="P17" s="208">
        <f>-'depresiasi, bunga, asuransi'!P7</f>
        <v>0</v>
      </c>
      <c r="Q17" s="208">
        <f>-'depresiasi, bunga, asuransi'!Q7</f>
        <v>0</v>
      </c>
      <c r="R17" s="208">
        <f>-'depresiasi, bunga, asuransi'!R7</f>
        <v>0</v>
      </c>
      <c r="S17" s="208">
        <f>-'depresiasi, bunga, asuransi'!S7</f>
        <v>0</v>
      </c>
      <c r="T17" s="208">
        <f>-'depresiasi, bunga, asuransi'!T7</f>
        <v>0</v>
      </c>
      <c r="U17" s="208">
        <f>-'depresiasi, bunga, asuransi'!U7</f>
        <v>0</v>
      </c>
      <c r="V17" s="208">
        <f>-'depresiasi, bunga, asuransi'!V7</f>
        <v>0</v>
      </c>
      <c r="W17" s="208">
        <f>-'depresiasi, bunga, asuransi'!W7</f>
        <v>0</v>
      </c>
      <c r="X17" s="208">
        <f>-'depresiasi, bunga, asuransi'!X7</f>
        <v>0</v>
      </c>
      <c r="Y17" s="208">
        <f>-'depresiasi, bunga, asuransi'!Y7</f>
        <v>0</v>
      </c>
      <c r="Z17" s="208">
        <f>-'depresiasi, bunga, asuransi'!Z7</f>
        <v>0</v>
      </c>
      <c r="AA17" s="208">
        <f>-'depresiasi, bunga, asuransi'!AA7</f>
        <v>0</v>
      </c>
      <c r="AB17" s="208">
        <f>-'depresiasi, bunga, asuransi'!AB7</f>
        <v>0</v>
      </c>
      <c r="AC17" s="208">
        <f>-'depresiasi, bunga, asuransi'!AC7</f>
        <v>0</v>
      </c>
      <c r="AD17" s="208">
        <f>-'depresiasi, bunga, asuransi'!AD7</f>
        <v>0</v>
      </c>
      <c r="AE17" s="208">
        <f>-'depresiasi, bunga, asuransi'!AE7</f>
        <v>0</v>
      </c>
      <c r="AF17" s="208">
        <f>-'depresiasi, bunga, asuransi'!AF7</f>
        <v>0</v>
      </c>
      <c r="AG17" s="208">
        <f>-'depresiasi, bunga, asuransi'!AG7</f>
        <v>0</v>
      </c>
    </row>
    <row r="18" spans="1:33" ht="15.75" x14ac:dyDescent="0.25">
      <c r="A18" s="173"/>
      <c r="B18" s="174"/>
      <c r="C18" s="207" t="s">
        <v>14</v>
      </c>
      <c r="D18" s="208">
        <f>-'depresiasi, bunga, asuransi'!D8</f>
        <v>-8508</v>
      </c>
      <c r="E18" s="208">
        <f>-'depresiasi, bunga, asuransi'!E8</f>
        <v>-8508</v>
      </c>
      <c r="F18" s="208">
        <f>-'depresiasi, bunga, asuransi'!F8</f>
        <v>-8508</v>
      </c>
      <c r="G18" s="208">
        <f>-'depresiasi, bunga, asuransi'!G8</f>
        <v>-8508</v>
      </c>
      <c r="H18" s="208">
        <f>-'depresiasi, bunga, asuransi'!H8</f>
        <v>-8508</v>
      </c>
      <c r="I18" s="208">
        <f>-'depresiasi, bunga, asuransi'!I8</f>
        <v>-8508</v>
      </c>
      <c r="J18" s="208">
        <f>-'depresiasi, bunga, asuransi'!J8</f>
        <v>-8508</v>
      </c>
      <c r="K18" s="208">
        <f>-'depresiasi, bunga, asuransi'!K8</f>
        <v>-8508</v>
      </c>
      <c r="L18" s="208">
        <f>-'depresiasi, bunga, asuransi'!L8</f>
        <v>-8508</v>
      </c>
      <c r="M18" s="208">
        <f>-'depresiasi, bunga, asuransi'!M8</f>
        <v>-8508</v>
      </c>
      <c r="N18" s="208">
        <f>-'depresiasi, bunga, asuransi'!N8</f>
        <v>-8508</v>
      </c>
      <c r="O18" s="208">
        <f>-'depresiasi, bunga, asuransi'!O8</f>
        <v>-8508</v>
      </c>
      <c r="P18" s="208">
        <f>-'depresiasi, bunga, asuransi'!P8</f>
        <v>-8508</v>
      </c>
      <c r="Q18" s="208">
        <f>-'depresiasi, bunga, asuransi'!Q8</f>
        <v>-8508</v>
      </c>
      <c r="R18" s="208">
        <f>-'depresiasi, bunga, asuransi'!R8</f>
        <v>-8508</v>
      </c>
      <c r="S18" s="208">
        <f>-'depresiasi, bunga, asuransi'!S8</f>
        <v>-8508</v>
      </c>
      <c r="T18" s="208">
        <f>-'depresiasi, bunga, asuransi'!T8</f>
        <v>-8508</v>
      </c>
      <c r="U18" s="208">
        <f>-'depresiasi, bunga, asuransi'!U8</f>
        <v>-8508</v>
      </c>
      <c r="V18" s="208">
        <f>-'depresiasi, bunga, asuransi'!V8</f>
        <v>-8508</v>
      </c>
      <c r="W18" s="208">
        <f>-'depresiasi, bunga, asuransi'!W8</f>
        <v>-8508</v>
      </c>
      <c r="X18" s="208">
        <f>-'depresiasi, bunga, asuransi'!X8</f>
        <v>-8508</v>
      </c>
      <c r="Y18" s="208">
        <f>-'depresiasi, bunga, asuransi'!Y8</f>
        <v>-8508</v>
      </c>
      <c r="Z18" s="208">
        <f>-'depresiasi, bunga, asuransi'!Z8</f>
        <v>-8508</v>
      </c>
      <c r="AA18" s="208">
        <f>-'depresiasi, bunga, asuransi'!AA8</f>
        <v>-8508</v>
      </c>
      <c r="AB18" s="208">
        <f>-'depresiasi, bunga, asuransi'!AB8</f>
        <v>-8508</v>
      </c>
      <c r="AC18" s="208">
        <f>-'depresiasi, bunga, asuransi'!AC8</f>
        <v>-8508</v>
      </c>
      <c r="AD18" s="208">
        <f>-'depresiasi, bunga, asuransi'!AD8</f>
        <v>-8508</v>
      </c>
      <c r="AE18" s="208">
        <f>-'depresiasi, bunga, asuransi'!AE8</f>
        <v>-8508</v>
      </c>
      <c r="AF18" s="208">
        <f>-'depresiasi, bunga, asuransi'!AF8</f>
        <v>-8508</v>
      </c>
      <c r="AG18" s="208">
        <f>-'depresiasi, bunga, asuransi'!AG8</f>
        <v>-8508</v>
      </c>
    </row>
    <row r="19" spans="1:33" ht="15.75" x14ac:dyDescent="0.25">
      <c r="A19" s="173"/>
      <c r="B19" s="174"/>
      <c r="C19" s="205" t="s">
        <v>122</v>
      </c>
      <c r="D19" s="209">
        <f t="shared" ref="D19:R19" si="27">SUM(D17:D18)</f>
        <v>-245229.3</v>
      </c>
      <c r="E19" s="209">
        <f t="shared" si="27"/>
        <v>-233024.13000000003</v>
      </c>
      <c r="F19" s="209">
        <f t="shared" si="27"/>
        <v>-219355.31</v>
      </c>
      <c r="G19" s="209">
        <f t="shared" si="27"/>
        <v>-204047.37000000002</v>
      </c>
      <c r="H19" s="209">
        <f t="shared" si="27"/>
        <v>-186903.75000000003</v>
      </c>
      <c r="I19" s="209">
        <f t="shared" si="27"/>
        <v>-167704.30000000002</v>
      </c>
      <c r="J19" s="209">
        <f t="shared" si="27"/>
        <v>-146202.47999999998</v>
      </c>
      <c r="K19" s="209">
        <f t="shared" si="27"/>
        <v>-122122.22</v>
      </c>
      <c r="L19" s="209">
        <f t="shared" si="27"/>
        <v>-95154.319999999992</v>
      </c>
      <c r="M19" s="209">
        <f t="shared" si="27"/>
        <v>-64952.45</v>
      </c>
      <c r="N19" s="209">
        <f t="shared" si="27"/>
        <v>-31128.880000000001</v>
      </c>
      <c r="O19" s="209">
        <f t="shared" si="27"/>
        <v>-8733.86</v>
      </c>
      <c r="P19" s="209">
        <f t="shared" si="27"/>
        <v>-8508</v>
      </c>
      <c r="Q19" s="209">
        <f t="shared" si="27"/>
        <v>-8508</v>
      </c>
      <c r="R19" s="209">
        <f t="shared" si="27"/>
        <v>-8508</v>
      </c>
      <c r="S19" s="209">
        <f t="shared" ref="S19:W19" si="28">SUM(S17:S18)</f>
        <v>-8508</v>
      </c>
      <c r="T19" s="209">
        <f t="shared" si="28"/>
        <v>-8508</v>
      </c>
      <c r="U19" s="209">
        <f t="shared" si="28"/>
        <v>-8508</v>
      </c>
      <c r="V19" s="209">
        <f t="shared" si="28"/>
        <v>-8508</v>
      </c>
      <c r="W19" s="209">
        <f t="shared" si="28"/>
        <v>-8508</v>
      </c>
      <c r="X19" s="209">
        <f t="shared" ref="X19:AG19" si="29">SUM(X17:X18)</f>
        <v>-8508</v>
      </c>
      <c r="Y19" s="209">
        <f t="shared" si="29"/>
        <v>-8508</v>
      </c>
      <c r="Z19" s="209">
        <f t="shared" si="29"/>
        <v>-8508</v>
      </c>
      <c r="AA19" s="209">
        <f t="shared" si="29"/>
        <v>-8508</v>
      </c>
      <c r="AB19" s="209">
        <f t="shared" si="29"/>
        <v>-8508</v>
      </c>
      <c r="AC19" s="209">
        <f t="shared" si="29"/>
        <v>-8508</v>
      </c>
      <c r="AD19" s="209">
        <f t="shared" si="29"/>
        <v>-8508</v>
      </c>
      <c r="AE19" s="209">
        <f t="shared" si="29"/>
        <v>-8508</v>
      </c>
      <c r="AF19" s="209">
        <f t="shared" si="29"/>
        <v>-8508</v>
      </c>
      <c r="AG19" s="209">
        <f t="shared" si="29"/>
        <v>-8508</v>
      </c>
    </row>
    <row r="20" spans="1:33" ht="15.75" x14ac:dyDescent="0.25">
      <c r="A20" s="173"/>
      <c r="B20" s="174">
        <v>7</v>
      </c>
      <c r="C20" s="210" t="s">
        <v>123</v>
      </c>
      <c r="D20" s="211">
        <f t="shared" ref="D20:R20" si="30">D15+D19</f>
        <v>-127284.29999999999</v>
      </c>
      <c r="E20" s="211">
        <f t="shared" si="30"/>
        <v>-79025.929999999906</v>
      </c>
      <c r="F20" s="211">
        <f t="shared" si="30"/>
        <v>-24992.104999999923</v>
      </c>
      <c r="G20" s="211">
        <f t="shared" si="30"/>
        <v>35459.149749999953</v>
      </c>
      <c r="H20" s="211">
        <f t="shared" si="30"/>
        <v>103039.31568749991</v>
      </c>
      <c r="I20" s="211">
        <f t="shared" si="30"/>
        <v>178536.81091687488</v>
      </c>
      <c r="J20" s="211">
        <f t="shared" si="30"/>
        <v>262825.21760221885</v>
      </c>
      <c r="K20" s="211">
        <f t="shared" si="30"/>
        <v>356872.39673577971</v>
      </c>
      <c r="L20" s="211">
        <f t="shared" si="30"/>
        <v>461750.66525136383</v>
      </c>
      <c r="M20" s="211">
        <f t="shared" si="30"/>
        <v>464374.03596060636</v>
      </c>
      <c r="N20" s="211">
        <f t="shared" si="30"/>
        <v>764974.73554763861</v>
      </c>
      <c r="O20" s="211">
        <f t="shared" si="30"/>
        <v>900124.90951037977</v>
      </c>
      <c r="P20" s="211">
        <f t="shared" si="30"/>
        <v>1025532.2284897938</v>
      </c>
      <c r="Q20" s="211">
        <f t="shared" si="30"/>
        <v>1164440.162468568</v>
      </c>
      <c r="R20" s="211">
        <f t="shared" si="30"/>
        <v>1318507.6354017097</v>
      </c>
      <c r="S20" s="211">
        <f t="shared" ref="S20:W20" si="31">S15+S19</f>
        <v>1489314.0384624794</v>
      </c>
      <c r="T20" s="211">
        <f t="shared" si="31"/>
        <v>1678599.8738053555</v>
      </c>
      <c r="U20" s="211">
        <f t="shared" si="31"/>
        <v>1888283.0242573514</v>
      </c>
      <c r="V20" s="211">
        <f t="shared" si="31"/>
        <v>2120476.6579081202</v>
      </c>
      <c r="W20" s="211">
        <f t="shared" si="31"/>
        <v>2263234.9314852171</v>
      </c>
      <c r="X20" s="211">
        <f t="shared" ref="X20:AG20" si="32">X15+X19</f>
        <v>2661944.6728093391</v>
      </c>
      <c r="Y20" s="211">
        <f t="shared" si="32"/>
        <v>2976609.2406746512</v>
      </c>
      <c r="Z20" s="211">
        <f t="shared" si="32"/>
        <v>3324614.7803557152</v>
      </c>
      <c r="AA20" s="211">
        <f t="shared" si="32"/>
        <v>3709389.1147855632</v>
      </c>
      <c r="AB20" s="211">
        <f t="shared" si="32"/>
        <v>4134707.5354781123</v>
      </c>
      <c r="AC20" s="211">
        <f t="shared" si="32"/>
        <v>4604727.7837006161</v>
      </c>
      <c r="AD20" s="211">
        <f t="shared" si="32"/>
        <v>5124028.5414791023</v>
      </c>
      <c r="AE20" s="211">
        <f t="shared" si="32"/>
        <v>5697651.7840058589</v>
      </c>
      <c r="AF20" s="211">
        <f t="shared" si="32"/>
        <v>6331149.3802042361</v>
      </c>
      <c r="AG20" s="211">
        <f t="shared" si="32"/>
        <v>6916360.366912337</v>
      </c>
    </row>
    <row r="21" spans="1:33" ht="15.75" x14ac:dyDescent="0.25">
      <c r="A21" s="175">
        <v>0.25</v>
      </c>
      <c r="B21" s="174"/>
      <c r="C21" s="212" t="s">
        <v>124</v>
      </c>
      <c r="D21" s="211"/>
      <c r="E21" s="211"/>
      <c r="F21" s="211"/>
      <c r="G21" s="211">
        <f t="shared" ref="G21:R21" si="33">-$A$21*G20</f>
        <v>-8864.7874374999883</v>
      </c>
      <c r="H21" s="211">
        <f t="shared" si="33"/>
        <v>-25759.828921874978</v>
      </c>
      <c r="I21" s="211">
        <f t="shared" si="33"/>
        <v>-44634.202729218719</v>
      </c>
      <c r="J21" s="211">
        <f t="shared" si="33"/>
        <v>-65706.304400554713</v>
      </c>
      <c r="K21" s="211">
        <f t="shared" si="33"/>
        <v>-89218.099183944927</v>
      </c>
      <c r="L21" s="211">
        <f t="shared" si="33"/>
        <v>-115437.66631284096</v>
      </c>
      <c r="M21" s="211">
        <f t="shared" si="33"/>
        <v>-116093.50899015159</v>
      </c>
      <c r="N21" s="211">
        <f t="shared" si="33"/>
        <v>-191243.68388690965</v>
      </c>
      <c r="O21" s="211">
        <f t="shared" si="33"/>
        <v>-225031.22737759494</v>
      </c>
      <c r="P21" s="211">
        <f t="shared" si="33"/>
        <v>-256383.05712244846</v>
      </c>
      <c r="Q21" s="211">
        <f t="shared" si="33"/>
        <v>-291110.04061714199</v>
      </c>
      <c r="R21" s="211">
        <f t="shared" si="33"/>
        <v>-329626.90885042743</v>
      </c>
      <c r="S21" s="211">
        <f t="shared" ref="S21:W21" si="34">-$A$21*S20</f>
        <v>-372328.50961561984</v>
      </c>
      <c r="T21" s="211">
        <f t="shared" si="34"/>
        <v>-419649.96845133888</v>
      </c>
      <c r="U21" s="211">
        <f t="shared" si="34"/>
        <v>-472070.75606433785</v>
      </c>
      <c r="V21" s="211">
        <f t="shared" si="34"/>
        <v>-530119.16447703005</v>
      </c>
      <c r="W21" s="211">
        <f t="shared" si="34"/>
        <v>-565808.73287130427</v>
      </c>
      <c r="X21" s="211">
        <f t="shared" ref="X21:AG21" si="35">-$A$21*X20</f>
        <v>-665486.16820233478</v>
      </c>
      <c r="Y21" s="211">
        <f t="shared" si="35"/>
        <v>-744152.31016866281</v>
      </c>
      <c r="Z21" s="211">
        <f t="shared" si="35"/>
        <v>-831153.6950889288</v>
      </c>
      <c r="AA21" s="211">
        <f t="shared" si="35"/>
        <v>-927347.2786963908</v>
      </c>
      <c r="AB21" s="211">
        <f t="shared" si="35"/>
        <v>-1033676.8838695281</v>
      </c>
      <c r="AC21" s="211">
        <f t="shared" si="35"/>
        <v>-1151181.945925154</v>
      </c>
      <c r="AD21" s="211">
        <f t="shared" si="35"/>
        <v>-1281007.1353697756</v>
      </c>
      <c r="AE21" s="211">
        <f t="shared" si="35"/>
        <v>-1424412.9460014647</v>
      </c>
      <c r="AF21" s="211">
        <f t="shared" si="35"/>
        <v>-1582787.345051059</v>
      </c>
      <c r="AG21" s="211">
        <f t="shared" si="35"/>
        <v>-1729090.0917280843</v>
      </c>
    </row>
    <row r="22" spans="1:33" ht="15.75" x14ac:dyDescent="0.25">
      <c r="A22" s="173"/>
      <c r="B22" s="174">
        <v>8</v>
      </c>
      <c r="C22" s="210" t="s">
        <v>125</v>
      </c>
      <c r="D22" s="213">
        <f t="shared" ref="D22:R22" si="36">D20+D21</f>
        <v>-127284.29999999999</v>
      </c>
      <c r="E22" s="213">
        <f t="shared" si="36"/>
        <v>-79025.929999999906</v>
      </c>
      <c r="F22" s="213">
        <f t="shared" si="36"/>
        <v>-24992.104999999923</v>
      </c>
      <c r="G22" s="213">
        <f t="shared" si="36"/>
        <v>26594.362312499965</v>
      </c>
      <c r="H22" s="213">
        <f t="shared" si="36"/>
        <v>77279.486765624926</v>
      </c>
      <c r="I22" s="213">
        <f t="shared" si="36"/>
        <v>133902.60818765615</v>
      </c>
      <c r="J22" s="213">
        <f t="shared" si="36"/>
        <v>197118.91320166414</v>
      </c>
      <c r="K22" s="213">
        <f t="shared" si="36"/>
        <v>267654.29755183478</v>
      </c>
      <c r="L22" s="213">
        <f t="shared" si="36"/>
        <v>346312.99893852288</v>
      </c>
      <c r="M22" s="213">
        <f t="shared" si="36"/>
        <v>348280.52697045478</v>
      </c>
      <c r="N22" s="213">
        <f t="shared" si="36"/>
        <v>573731.05166072899</v>
      </c>
      <c r="O22" s="213">
        <f t="shared" si="36"/>
        <v>675093.68213278486</v>
      </c>
      <c r="P22" s="213">
        <f t="shared" si="36"/>
        <v>769149.17136734538</v>
      </c>
      <c r="Q22" s="213">
        <f t="shared" si="36"/>
        <v>873330.12185142597</v>
      </c>
      <c r="R22" s="213">
        <f t="shared" si="36"/>
        <v>988880.72655128222</v>
      </c>
      <c r="S22" s="213">
        <f t="shared" ref="S22:W22" si="37">S20+S21</f>
        <v>1116985.5288468595</v>
      </c>
      <c r="T22" s="213">
        <f t="shared" si="37"/>
        <v>1258949.9053540167</v>
      </c>
      <c r="U22" s="213">
        <f t="shared" si="37"/>
        <v>1416212.2681930135</v>
      </c>
      <c r="V22" s="213">
        <f t="shared" si="37"/>
        <v>1590357.4934310901</v>
      </c>
      <c r="W22" s="213">
        <f t="shared" si="37"/>
        <v>1697426.1986139128</v>
      </c>
      <c r="X22" s="213">
        <f t="shared" ref="X22:AG22" si="38">X20+X21</f>
        <v>1996458.5046070043</v>
      </c>
      <c r="Y22" s="213">
        <f t="shared" si="38"/>
        <v>2232456.9305059882</v>
      </c>
      <c r="Z22" s="213">
        <f t="shared" si="38"/>
        <v>2493461.0852667866</v>
      </c>
      <c r="AA22" s="213">
        <f t="shared" si="38"/>
        <v>2782041.8360891724</v>
      </c>
      <c r="AB22" s="213">
        <f t="shared" si="38"/>
        <v>3101030.6516085844</v>
      </c>
      <c r="AC22" s="213">
        <f t="shared" si="38"/>
        <v>3453545.8377754623</v>
      </c>
      <c r="AD22" s="213">
        <f t="shared" si="38"/>
        <v>3843021.4061093265</v>
      </c>
      <c r="AE22" s="213">
        <f t="shared" si="38"/>
        <v>4273238.8380043944</v>
      </c>
      <c r="AF22" s="213">
        <f t="shared" si="38"/>
        <v>4748362.0351531766</v>
      </c>
      <c r="AG22" s="213">
        <f t="shared" si="38"/>
        <v>5187270.2751842532</v>
      </c>
    </row>
    <row r="24" spans="1:33" x14ac:dyDescent="0.25">
      <c r="B24" s="153">
        <v>9</v>
      </c>
      <c r="C24" s="179" t="s">
        <v>274</v>
      </c>
      <c r="D24" s="178">
        <f t="shared" ref="D24:R24" si="39">D22-D14</f>
        <v>-25994.299999999988</v>
      </c>
      <c r="E24" s="178">
        <f t="shared" si="39"/>
        <v>22264.070000000094</v>
      </c>
      <c r="F24" s="178">
        <f t="shared" si="39"/>
        <v>76297.895000000077</v>
      </c>
      <c r="G24" s="178">
        <f t="shared" si="39"/>
        <v>127884.36231249996</v>
      </c>
      <c r="H24" s="178">
        <f t="shared" si="39"/>
        <v>178569.48676562493</v>
      </c>
      <c r="I24" s="178">
        <f t="shared" si="39"/>
        <v>235192.60818765615</v>
      </c>
      <c r="J24" s="178">
        <f t="shared" si="39"/>
        <v>298408.91320166411</v>
      </c>
      <c r="K24" s="178">
        <f t="shared" si="39"/>
        <v>368944.29755183478</v>
      </c>
      <c r="L24" s="178">
        <f t="shared" si="39"/>
        <v>447602.99893852288</v>
      </c>
      <c r="M24" s="178">
        <f t="shared" si="39"/>
        <v>449570.52697045478</v>
      </c>
      <c r="N24" s="178">
        <f t="shared" si="39"/>
        <v>675021.05166072899</v>
      </c>
      <c r="O24" s="178">
        <f t="shared" si="39"/>
        <v>776383.68213278486</v>
      </c>
      <c r="P24" s="178">
        <f t="shared" si="39"/>
        <v>870439.17136734538</v>
      </c>
      <c r="Q24" s="178">
        <f t="shared" si="39"/>
        <v>974620.12185142597</v>
      </c>
      <c r="R24" s="178">
        <f t="shared" si="39"/>
        <v>1090170.7265512822</v>
      </c>
      <c r="S24" s="178">
        <f t="shared" ref="S24:AG24" si="40">S22-S14</f>
        <v>1218275.5288468595</v>
      </c>
      <c r="T24" s="178">
        <f t="shared" si="40"/>
        <v>1360239.9053540167</v>
      </c>
      <c r="U24" s="178">
        <f t="shared" si="40"/>
        <v>1517502.2681930135</v>
      </c>
      <c r="V24" s="178">
        <f t="shared" si="40"/>
        <v>1691647.4934310901</v>
      </c>
      <c r="W24" s="178">
        <f t="shared" si="40"/>
        <v>1798716.1986139128</v>
      </c>
      <c r="X24" s="178">
        <f t="shared" si="40"/>
        <v>2097748.5046070041</v>
      </c>
      <c r="Y24" s="178">
        <f t="shared" si="40"/>
        <v>2333746.9305059882</v>
      </c>
      <c r="Z24" s="178">
        <f t="shared" si="40"/>
        <v>2594751.0852667866</v>
      </c>
      <c r="AA24" s="178">
        <f t="shared" si="40"/>
        <v>2883331.8360891724</v>
      </c>
      <c r="AB24" s="178">
        <f t="shared" si="40"/>
        <v>3202320.6516085844</v>
      </c>
      <c r="AC24" s="178">
        <f t="shared" si="40"/>
        <v>3554835.8377754623</v>
      </c>
      <c r="AD24" s="178">
        <f t="shared" si="40"/>
        <v>3944311.4061093265</v>
      </c>
      <c r="AE24" s="178">
        <f t="shared" si="40"/>
        <v>4374528.8380043944</v>
      </c>
      <c r="AF24" s="178">
        <f t="shared" si="40"/>
        <v>4849652.0351531766</v>
      </c>
      <c r="AG24" s="178">
        <f t="shared" si="40"/>
        <v>5288560.2751842532</v>
      </c>
    </row>
    <row r="26" spans="1:33" x14ac:dyDescent="0.25">
      <c r="B26" s="54">
        <v>1</v>
      </c>
      <c r="C26" s="180"/>
    </row>
    <row r="27" spans="1:33" x14ac:dyDescent="0.25">
      <c r="C27" s="181" t="s">
        <v>110</v>
      </c>
    </row>
    <row r="28" spans="1:33" x14ac:dyDescent="0.25">
      <c r="C28" s="182" t="s">
        <v>111</v>
      </c>
    </row>
    <row r="29" spans="1:33" x14ac:dyDescent="0.25">
      <c r="C29" s="182" t="s">
        <v>112</v>
      </c>
    </row>
    <row r="30" spans="1:33" x14ac:dyDescent="0.25">
      <c r="B30" s="54">
        <v>2</v>
      </c>
      <c r="C30" s="181" t="s">
        <v>113</v>
      </c>
    </row>
    <row r="31" spans="1:33" x14ac:dyDescent="0.25">
      <c r="C31" s="183" t="s">
        <v>114</v>
      </c>
    </row>
    <row r="32" spans="1:33" x14ac:dyDescent="0.25">
      <c r="C32" s="184" t="s">
        <v>115</v>
      </c>
    </row>
    <row r="33" spans="1:3" x14ac:dyDescent="0.25">
      <c r="C33" s="184" t="s">
        <v>13</v>
      </c>
    </row>
    <row r="34" spans="1:3" x14ac:dyDescent="0.25">
      <c r="C34" s="184" t="s">
        <v>116</v>
      </c>
    </row>
    <row r="35" spans="1:3" x14ac:dyDescent="0.25">
      <c r="B35" s="54">
        <v>3</v>
      </c>
      <c r="C35" s="183" t="s">
        <v>130</v>
      </c>
    </row>
    <row r="36" spans="1:3" x14ac:dyDescent="0.25">
      <c r="B36" s="54">
        <v>4</v>
      </c>
      <c r="C36" s="185" t="s">
        <v>117</v>
      </c>
    </row>
    <row r="37" spans="1:3" x14ac:dyDescent="0.25">
      <c r="B37" s="54">
        <v>5</v>
      </c>
      <c r="C37" s="185" t="s">
        <v>119</v>
      </c>
    </row>
    <row r="38" spans="1:3" x14ac:dyDescent="0.25">
      <c r="B38" s="54">
        <v>6</v>
      </c>
      <c r="C38" s="185" t="s">
        <v>118</v>
      </c>
    </row>
    <row r="39" spans="1:3" x14ac:dyDescent="0.25">
      <c r="C39" s="186" t="s">
        <v>120</v>
      </c>
    </row>
    <row r="40" spans="1:3" x14ac:dyDescent="0.25">
      <c r="C40" s="187" t="s">
        <v>121</v>
      </c>
    </row>
    <row r="41" spans="1:3" x14ac:dyDescent="0.25">
      <c r="C41" s="187" t="s">
        <v>14</v>
      </c>
    </row>
    <row r="42" spans="1:3" x14ac:dyDescent="0.25">
      <c r="B42" s="54">
        <v>7</v>
      </c>
      <c r="C42" s="186" t="s">
        <v>122</v>
      </c>
    </row>
    <row r="43" spans="1:3" x14ac:dyDescent="0.25">
      <c r="A43" s="21"/>
      <c r="C43" s="188" t="s">
        <v>123</v>
      </c>
    </row>
    <row r="44" spans="1:3" x14ac:dyDescent="0.25">
      <c r="B44" s="54">
        <v>8</v>
      </c>
      <c r="C44" s="189" t="s">
        <v>124</v>
      </c>
    </row>
    <row r="45" spans="1:3" x14ac:dyDescent="0.25">
      <c r="C45" s="188" t="s">
        <v>125</v>
      </c>
    </row>
    <row r="48" spans="1:3" x14ac:dyDescent="0.25">
      <c r="B48" s="54">
        <v>1</v>
      </c>
      <c r="C48" s="180"/>
    </row>
    <row r="49" spans="2:3" x14ac:dyDescent="0.25">
      <c r="C49" s="181" t="s">
        <v>110</v>
      </c>
    </row>
    <row r="50" spans="2:3" x14ac:dyDescent="0.25">
      <c r="C50" s="182" t="s">
        <v>111</v>
      </c>
    </row>
    <row r="51" spans="2:3" x14ac:dyDescent="0.25">
      <c r="C51" s="182" t="s">
        <v>112</v>
      </c>
    </row>
    <row r="52" spans="2:3" x14ac:dyDescent="0.25">
      <c r="B52" s="54">
        <v>2</v>
      </c>
      <c r="C52" s="181" t="s">
        <v>113</v>
      </c>
    </row>
    <row r="53" spans="2:3" x14ac:dyDescent="0.25">
      <c r="C53" s="183" t="s">
        <v>114</v>
      </c>
    </row>
    <row r="54" spans="2:3" x14ac:dyDescent="0.25">
      <c r="C54" s="184" t="s">
        <v>115</v>
      </c>
    </row>
    <row r="55" spans="2:3" x14ac:dyDescent="0.25">
      <c r="C55" s="184" t="s">
        <v>13</v>
      </c>
    </row>
    <row r="56" spans="2:3" x14ac:dyDescent="0.25">
      <c r="C56" s="184" t="s">
        <v>116</v>
      </c>
    </row>
    <row r="57" spans="2:3" x14ac:dyDescent="0.25">
      <c r="B57" s="54">
        <v>3</v>
      </c>
      <c r="C57" s="183" t="s">
        <v>130</v>
      </c>
    </row>
    <row r="58" spans="2:3" x14ac:dyDescent="0.25">
      <c r="B58" s="54">
        <v>4</v>
      </c>
      <c r="C58" s="185" t="s">
        <v>117</v>
      </c>
    </row>
    <row r="59" spans="2:3" x14ac:dyDescent="0.25">
      <c r="B59" s="54">
        <v>5</v>
      </c>
      <c r="C59" s="185" t="s">
        <v>119</v>
      </c>
    </row>
    <row r="60" spans="2:3" x14ac:dyDescent="0.25">
      <c r="B60" s="54">
        <v>6</v>
      </c>
      <c r="C60" s="185" t="s">
        <v>118</v>
      </c>
    </row>
    <row r="61" spans="2:3" x14ac:dyDescent="0.25">
      <c r="C61" s="186" t="s">
        <v>120</v>
      </c>
    </row>
    <row r="62" spans="2:3" x14ac:dyDescent="0.25">
      <c r="C62" s="187" t="s">
        <v>121</v>
      </c>
    </row>
    <row r="63" spans="2:3" x14ac:dyDescent="0.25">
      <c r="C63" s="187" t="s">
        <v>14</v>
      </c>
    </row>
    <row r="64" spans="2:3" x14ac:dyDescent="0.25">
      <c r="B64" s="54">
        <v>7</v>
      </c>
      <c r="C64" s="186" t="s">
        <v>122</v>
      </c>
    </row>
    <row r="65" spans="2:3" x14ac:dyDescent="0.25">
      <c r="C65" s="188" t="s">
        <v>123</v>
      </c>
    </row>
    <row r="66" spans="2:3" x14ac:dyDescent="0.25">
      <c r="B66" s="54">
        <v>8</v>
      </c>
      <c r="C66" s="189" t="s">
        <v>124</v>
      </c>
    </row>
    <row r="67" spans="2:3" x14ac:dyDescent="0.25">
      <c r="C67" s="188" t="s">
        <v>125</v>
      </c>
    </row>
  </sheetData>
  <mergeCells count="4">
    <mergeCell ref="C2:C3"/>
    <mergeCell ref="D2:M2"/>
    <mergeCell ref="N2:W2"/>
    <mergeCell ref="X2:AG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83"/>
  <sheetViews>
    <sheetView showGridLines="0" zoomScale="85" zoomScaleNormal="85" workbookViewId="0">
      <selection activeCell="O4" sqref="O4"/>
    </sheetView>
  </sheetViews>
  <sheetFormatPr defaultRowHeight="15" x14ac:dyDescent="0.25"/>
  <cols>
    <col min="2" max="2" width="46.5703125" bestFit="1" customWidth="1"/>
    <col min="3" max="13" width="15.7109375" customWidth="1"/>
    <col min="14" max="34" width="20.7109375" customWidth="1"/>
    <col min="35" max="35" width="10.5703125" bestFit="1" customWidth="1"/>
  </cols>
  <sheetData>
    <row r="3" spans="1:34" ht="18.75" x14ac:dyDescent="0.3">
      <c r="A3" s="105"/>
      <c r="B3" s="273" t="s">
        <v>25</v>
      </c>
      <c r="C3" s="272" t="s">
        <v>24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69" t="s">
        <v>24</v>
      </c>
      <c r="O3" s="270"/>
      <c r="P3" s="270"/>
      <c r="Q3" s="270"/>
      <c r="R3" s="270"/>
      <c r="S3" s="270"/>
      <c r="T3" s="270"/>
      <c r="U3" s="270"/>
      <c r="V3" s="270"/>
      <c r="W3" s="270"/>
      <c r="X3" s="271"/>
      <c r="Y3" s="272" t="s">
        <v>24</v>
      </c>
      <c r="Z3" s="272"/>
      <c r="AA3" s="272"/>
      <c r="AB3" s="272"/>
      <c r="AC3" s="272"/>
      <c r="AD3" s="272"/>
      <c r="AE3" s="272"/>
      <c r="AF3" s="272"/>
      <c r="AG3" s="272"/>
      <c r="AH3" s="272"/>
    </row>
    <row r="4" spans="1:34" ht="18.75" x14ac:dyDescent="0.3">
      <c r="A4" s="105"/>
      <c r="B4" s="273"/>
      <c r="C4" s="227">
        <v>0</v>
      </c>
      <c r="D4" s="228">
        <f>C4+1</f>
        <v>1</v>
      </c>
      <c r="E4" s="228">
        <f t="shared" ref="E4:AH4" si="0">D4+1</f>
        <v>2</v>
      </c>
      <c r="F4" s="228">
        <f t="shared" si="0"/>
        <v>3</v>
      </c>
      <c r="G4" s="228">
        <f t="shared" si="0"/>
        <v>4</v>
      </c>
      <c r="H4" s="228">
        <f t="shared" si="0"/>
        <v>5</v>
      </c>
      <c r="I4" s="228">
        <f t="shared" si="0"/>
        <v>6</v>
      </c>
      <c r="J4" s="228">
        <f t="shared" si="0"/>
        <v>7</v>
      </c>
      <c r="K4" s="228">
        <f t="shared" si="0"/>
        <v>8</v>
      </c>
      <c r="L4" s="228">
        <f t="shared" si="0"/>
        <v>9</v>
      </c>
      <c r="M4" s="228">
        <f t="shared" si="0"/>
        <v>10</v>
      </c>
      <c r="N4" s="228">
        <f t="shared" si="0"/>
        <v>11</v>
      </c>
      <c r="O4" s="228">
        <f t="shared" si="0"/>
        <v>12</v>
      </c>
      <c r="P4" s="228">
        <f t="shared" si="0"/>
        <v>13</v>
      </c>
      <c r="Q4" s="228">
        <f t="shared" si="0"/>
        <v>14</v>
      </c>
      <c r="R4" s="228">
        <f t="shared" si="0"/>
        <v>15</v>
      </c>
      <c r="S4" s="228">
        <f t="shared" si="0"/>
        <v>16</v>
      </c>
      <c r="T4" s="228">
        <f t="shared" si="0"/>
        <v>17</v>
      </c>
      <c r="U4" s="228">
        <f t="shared" si="0"/>
        <v>18</v>
      </c>
      <c r="V4" s="228">
        <f t="shared" si="0"/>
        <v>19</v>
      </c>
      <c r="W4" s="228">
        <f t="shared" si="0"/>
        <v>20</v>
      </c>
      <c r="X4" s="228">
        <f t="shared" si="0"/>
        <v>21</v>
      </c>
      <c r="Y4" s="228">
        <f t="shared" si="0"/>
        <v>22</v>
      </c>
      <c r="Z4" s="228">
        <f t="shared" si="0"/>
        <v>23</v>
      </c>
      <c r="AA4" s="228">
        <f t="shared" si="0"/>
        <v>24</v>
      </c>
      <c r="AB4" s="228">
        <f t="shared" si="0"/>
        <v>25</v>
      </c>
      <c r="AC4" s="228">
        <f t="shared" si="0"/>
        <v>26</v>
      </c>
      <c r="AD4" s="228">
        <f t="shared" si="0"/>
        <v>27</v>
      </c>
      <c r="AE4" s="228">
        <f t="shared" si="0"/>
        <v>28</v>
      </c>
      <c r="AF4" s="228">
        <f t="shared" si="0"/>
        <v>29</v>
      </c>
      <c r="AG4" s="228">
        <f t="shared" si="0"/>
        <v>30</v>
      </c>
      <c r="AH4" s="228">
        <f t="shared" si="0"/>
        <v>31</v>
      </c>
    </row>
    <row r="5" spans="1:34" s="28" customFormat="1" ht="20.100000000000001" customHeight="1" x14ac:dyDescent="0.3">
      <c r="A5" s="106">
        <v>1</v>
      </c>
      <c r="B5" s="214" t="s">
        <v>128</v>
      </c>
      <c r="C5" s="218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8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8"/>
      <c r="Z5" s="219"/>
      <c r="AA5" s="219"/>
      <c r="AB5" s="219"/>
      <c r="AC5" s="219"/>
      <c r="AD5" s="219"/>
      <c r="AE5" s="219"/>
      <c r="AF5" s="219"/>
      <c r="AG5" s="219"/>
      <c r="AH5" s="219"/>
    </row>
    <row r="6" spans="1:34" ht="20.100000000000001" customHeight="1" x14ac:dyDescent="0.3">
      <c r="A6" s="105"/>
      <c r="B6" s="220" t="s">
        <v>57</v>
      </c>
      <c r="C6" s="221"/>
      <c r="D6" s="221"/>
      <c r="E6" s="222">
        <f>'laba rugi'!D7</f>
        <v>501829</v>
      </c>
      <c r="F6" s="222">
        <f>'laba rugi'!E7</f>
        <v>552011.90000000014</v>
      </c>
      <c r="G6" s="222">
        <f>'laba rugi'!F7</f>
        <v>607213.09000000008</v>
      </c>
      <c r="H6" s="222">
        <f>'laba rugi'!G7</f>
        <v>667934.39899999998</v>
      </c>
      <c r="I6" s="222">
        <f>'laba rugi'!H7</f>
        <v>734727.83889999997</v>
      </c>
      <c r="J6" s="222">
        <f>'laba rugi'!I7</f>
        <v>808200.62278999994</v>
      </c>
      <c r="K6" s="222">
        <f>'laba rugi'!J7</f>
        <v>889020.68506900012</v>
      </c>
      <c r="L6" s="222">
        <f>'laba rugi'!K7</f>
        <v>977922.75357589999</v>
      </c>
      <c r="M6" s="222">
        <f>'laba rugi'!L7</f>
        <v>1075715.0289334902</v>
      </c>
      <c r="N6" s="223">
        <f>'laba rugi'!M7</f>
        <v>1183286.5318268391</v>
      </c>
      <c r="O6" s="223">
        <f>'laba rugi'!N7</f>
        <v>1357709.463707183</v>
      </c>
      <c r="P6" s="223">
        <f>'laba rugi'!O7</f>
        <v>1493480.4100779013</v>
      </c>
      <c r="Q6" s="223">
        <f>'laba rugi'!P7</f>
        <v>1642828.4510856916</v>
      </c>
      <c r="R6" s="223">
        <f>'laba rugi'!Q7</f>
        <v>1807111.2961942605</v>
      </c>
      <c r="S6" s="223">
        <f>'laba rugi'!R7</f>
        <v>1987822.4258136868</v>
      </c>
      <c r="T6" s="223">
        <f>'laba rugi'!S7</f>
        <v>2186604.6683950555</v>
      </c>
      <c r="U6" s="223">
        <f>'laba rugi'!T7</f>
        <v>2405265.1352345604</v>
      </c>
      <c r="V6" s="223">
        <f>'laba rugi'!U7</f>
        <v>2645791.6487580165</v>
      </c>
      <c r="W6" s="223">
        <f>'laba rugi'!V7</f>
        <v>2910370.8136338182</v>
      </c>
      <c r="X6" s="223">
        <f>'laba rugi'!W7</f>
        <v>3201407.8949972005</v>
      </c>
      <c r="Y6" s="223">
        <f>'laba rugi'!X7</f>
        <v>3521548.6844969215</v>
      </c>
      <c r="Z6" s="223">
        <f>'laba rugi'!Y7</f>
        <v>3873703.5529466127</v>
      </c>
      <c r="AA6" s="223">
        <f>'laba rugi'!Z7</f>
        <v>4261073.9082412748</v>
      </c>
      <c r="AB6" s="223">
        <f>'laba rugi'!AA7</f>
        <v>4687181.2990654008</v>
      </c>
      <c r="AC6" s="223">
        <f>'laba rugi'!AB7</f>
        <v>5155899.4289719416</v>
      </c>
      <c r="AD6" s="223">
        <f>'laba rugi'!AC7</f>
        <v>5671489.3718691366</v>
      </c>
      <c r="AE6" s="223">
        <f>'laba rugi'!AD7</f>
        <v>6238638.3090560492</v>
      </c>
      <c r="AF6" s="223">
        <f>'laba rugi'!AE7</f>
        <v>6862502.1399616534</v>
      </c>
      <c r="AG6" s="223">
        <f>'laba rugi'!AF7</f>
        <v>7548752.3539578198</v>
      </c>
      <c r="AH6" s="223">
        <f>'laba rugi'!AG7</f>
        <v>8303627.5893536005</v>
      </c>
    </row>
    <row r="7" spans="1:34" ht="20.100000000000001" customHeight="1" x14ac:dyDescent="0.3">
      <c r="A7" s="105"/>
      <c r="B7" s="221" t="s">
        <v>58</v>
      </c>
      <c r="C7" s="224"/>
      <c r="D7" s="224"/>
      <c r="E7" s="224">
        <f>'laba rugi'!D12</f>
        <v>-282594</v>
      </c>
      <c r="F7" s="224">
        <f>'laba rugi'!E12</f>
        <v>-296723.7</v>
      </c>
      <c r="G7" s="224">
        <f>'laba rugi'!F12</f>
        <v>-311559.88500000001</v>
      </c>
      <c r="H7" s="224">
        <f>'laba rugi'!G12</f>
        <v>-327137.87925</v>
      </c>
      <c r="I7" s="224">
        <f>'laba rugi'!H12</f>
        <v>-343494.77321250003</v>
      </c>
      <c r="J7" s="224">
        <f>'laba rugi'!I12</f>
        <v>-360669.51187312504</v>
      </c>
      <c r="K7" s="224">
        <f>'laba rugi'!J12</f>
        <v>-378702.98746678128</v>
      </c>
      <c r="L7" s="224">
        <f>'laba rugi'!K12</f>
        <v>-397638.13684012031</v>
      </c>
      <c r="M7" s="224">
        <f>'laba rugi'!L12</f>
        <v>-417520.04368212633</v>
      </c>
      <c r="N7" s="224">
        <f>'laba rugi'!M12</f>
        <v>-552670.04586623271</v>
      </c>
      <c r="O7" s="224">
        <f>'laba rugi'!N12</f>
        <v>-460315.84815954434</v>
      </c>
      <c r="P7" s="224">
        <f>'laba rugi'!O12</f>
        <v>-483331.64056752156</v>
      </c>
      <c r="Q7" s="224">
        <f>'laba rugi'!P12</f>
        <v>-507498.22259589762</v>
      </c>
      <c r="R7" s="224">
        <f>'laba rugi'!Q12</f>
        <v>-532873.13372569252</v>
      </c>
      <c r="S7" s="224">
        <f>'laba rugi'!R12</f>
        <v>-559516.7904119771</v>
      </c>
      <c r="T7" s="224">
        <f>'laba rugi'!S12</f>
        <v>-587492.62993257609</v>
      </c>
      <c r="U7" s="224">
        <f>'laba rugi'!T12</f>
        <v>-616867.26142920484</v>
      </c>
      <c r="V7" s="224">
        <f>'laba rugi'!U12</f>
        <v>-647710.62450066512</v>
      </c>
      <c r="W7" s="224">
        <f>'laba rugi'!V12</f>
        <v>-680096.15572569822</v>
      </c>
      <c r="X7" s="224">
        <f>'laba rugi'!W12</f>
        <v>-828374.96351198317</v>
      </c>
      <c r="Y7" s="224">
        <f>'laba rugi'!X12</f>
        <v>-749806.01168758236</v>
      </c>
      <c r="Z7" s="224">
        <f>'laba rugi'!Y12</f>
        <v>-787296.31227196148</v>
      </c>
      <c r="AA7" s="224">
        <f>'laba rugi'!Z12</f>
        <v>-826661.12788555957</v>
      </c>
      <c r="AB7" s="224">
        <f>'laba rugi'!AA12</f>
        <v>-867994.18427983741</v>
      </c>
      <c r="AC7" s="224">
        <f>'laba rugi'!AB12</f>
        <v>-911393.89349382941</v>
      </c>
      <c r="AD7" s="224">
        <f>'laba rugi'!AC12</f>
        <v>-956963.58816852083</v>
      </c>
      <c r="AE7" s="224">
        <f>'laba rugi'!AD12</f>
        <v>-1004811.7675769471</v>
      </c>
      <c r="AF7" s="224">
        <f>'laba rugi'!AE12</f>
        <v>-1055052.3559557945</v>
      </c>
      <c r="AG7" s="224">
        <f>'laba rugi'!AF12</f>
        <v>-1107804.9737535841</v>
      </c>
      <c r="AH7" s="224">
        <f>'laba rugi'!AG12</f>
        <v>-1277469.2224412633</v>
      </c>
    </row>
    <row r="8" spans="1:34" ht="20.100000000000001" customHeight="1" x14ac:dyDescent="0.3">
      <c r="A8" s="105"/>
      <c r="B8" s="221" t="s">
        <v>59</v>
      </c>
      <c r="C8" s="224"/>
      <c r="D8" s="224"/>
      <c r="E8" s="224">
        <f>'laba rugi'!D21</f>
        <v>0</v>
      </c>
      <c r="F8" s="224">
        <f>'laba rugi'!E21</f>
        <v>0</v>
      </c>
      <c r="G8" s="224">
        <f>'laba rugi'!F21</f>
        <v>0</v>
      </c>
      <c r="H8" s="224">
        <f>'laba rugi'!G21</f>
        <v>-8864.7874374999883</v>
      </c>
      <c r="I8" s="224">
        <f>'laba rugi'!H21</f>
        <v>-25759.828921874978</v>
      </c>
      <c r="J8" s="224">
        <f>'laba rugi'!I21</f>
        <v>-44634.202729218719</v>
      </c>
      <c r="K8" s="224">
        <f>'laba rugi'!J21</f>
        <v>-65706.304400554713</v>
      </c>
      <c r="L8" s="224">
        <f>'laba rugi'!K21</f>
        <v>-89218.099183944927</v>
      </c>
      <c r="M8" s="224">
        <f>'laba rugi'!L21</f>
        <v>-115437.66631284096</v>
      </c>
      <c r="N8" s="224">
        <f>'laba rugi'!M21</f>
        <v>-116093.50899015159</v>
      </c>
      <c r="O8" s="224">
        <f>'laba rugi'!N21</f>
        <v>-191243.68388690965</v>
      </c>
      <c r="P8" s="224">
        <f>'laba rugi'!O21</f>
        <v>-225031.22737759494</v>
      </c>
      <c r="Q8" s="224">
        <f>'laba rugi'!P21</f>
        <v>-256383.05712244846</v>
      </c>
      <c r="R8" s="224">
        <f>'laba rugi'!Q21</f>
        <v>-291110.04061714199</v>
      </c>
      <c r="S8" s="224">
        <f>'laba rugi'!R21</f>
        <v>-329626.90885042743</v>
      </c>
      <c r="T8" s="224">
        <f>'laba rugi'!S21</f>
        <v>-372328.50961561984</v>
      </c>
      <c r="U8" s="224">
        <f>'laba rugi'!T21</f>
        <v>-419649.96845133888</v>
      </c>
      <c r="V8" s="224">
        <f>'laba rugi'!U21</f>
        <v>-472070.75606433785</v>
      </c>
      <c r="W8" s="224">
        <f>'laba rugi'!V21</f>
        <v>-530119.16447703005</v>
      </c>
      <c r="X8" s="224">
        <f>'laba rugi'!W21</f>
        <v>-565808.73287130427</v>
      </c>
      <c r="Y8" s="224">
        <f>'laba rugi'!X21</f>
        <v>-665486.16820233478</v>
      </c>
      <c r="Z8" s="224">
        <f>'laba rugi'!Y21</f>
        <v>-744152.31016866281</v>
      </c>
      <c r="AA8" s="224">
        <f>'laba rugi'!Z21</f>
        <v>-831153.6950889288</v>
      </c>
      <c r="AB8" s="224">
        <f>'laba rugi'!AA21</f>
        <v>-927347.2786963908</v>
      </c>
      <c r="AC8" s="224">
        <f>'laba rugi'!AB21</f>
        <v>-1033676.8838695281</v>
      </c>
      <c r="AD8" s="224">
        <f>'laba rugi'!AC21</f>
        <v>-1151181.945925154</v>
      </c>
      <c r="AE8" s="224">
        <f>'laba rugi'!AD21</f>
        <v>-1281007.1353697756</v>
      </c>
      <c r="AF8" s="224">
        <f>'laba rugi'!AE21</f>
        <v>-1424412.9460014647</v>
      </c>
      <c r="AG8" s="224">
        <f>'laba rugi'!AF21</f>
        <v>-1582787.345051059</v>
      </c>
      <c r="AH8" s="224">
        <f>'laba rugi'!AG21</f>
        <v>-1729090.0917280843</v>
      </c>
    </row>
    <row r="9" spans="1:34" ht="20.100000000000001" customHeight="1" x14ac:dyDescent="0.3">
      <c r="A9" s="105"/>
      <c r="B9" s="225" t="s">
        <v>60</v>
      </c>
      <c r="C9" s="226"/>
      <c r="D9" s="224"/>
      <c r="E9" s="224">
        <f>'laba rugi'!D17</f>
        <v>-236721.3</v>
      </c>
      <c r="F9" s="224">
        <f>'laba rugi'!E17</f>
        <v>-224516.13000000003</v>
      </c>
      <c r="G9" s="224">
        <f>'laba rugi'!F17</f>
        <v>-210847.31</v>
      </c>
      <c r="H9" s="224">
        <f>'laba rugi'!G17</f>
        <v>-195539.37000000002</v>
      </c>
      <c r="I9" s="224">
        <f>'laba rugi'!H17</f>
        <v>-178395.75000000003</v>
      </c>
      <c r="J9" s="224">
        <f>'laba rugi'!I17</f>
        <v>-159196.30000000002</v>
      </c>
      <c r="K9" s="224">
        <f>'laba rugi'!J17</f>
        <v>-137694.47999999998</v>
      </c>
      <c r="L9" s="224">
        <f>'laba rugi'!K17</f>
        <v>-113614.22</v>
      </c>
      <c r="M9" s="224">
        <f>'laba rugi'!L17</f>
        <v>-86646.319999999992</v>
      </c>
      <c r="N9" s="224">
        <f>'laba rugi'!M17</f>
        <v>-56444.45</v>
      </c>
      <c r="O9" s="224">
        <f>'laba rugi'!N17</f>
        <v>-22620.880000000001</v>
      </c>
      <c r="P9" s="224">
        <f>'laba rugi'!O17</f>
        <v>-225.86</v>
      </c>
      <c r="Q9" s="224">
        <f>'laba rugi'!P17</f>
        <v>0</v>
      </c>
      <c r="R9" s="224">
        <f>'laba rugi'!Q17</f>
        <v>0</v>
      </c>
      <c r="S9" s="224">
        <f>'laba rugi'!R17</f>
        <v>0</v>
      </c>
      <c r="T9" s="224">
        <f>'laba rugi'!S17</f>
        <v>0</v>
      </c>
      <c r="U9" s="224">
        <f>'laba rugi'!T17</f>
        <v>0</v>
      </c>
      <c r="V9" s="224">
        <f>'laba rugi'!U17</f>
        <v>0</v>
      </c>
      <c r="W9" s="224">
        <f>'laba rugi'!V17</f>
        <v>0</v>
      </c>
      <c r="X9" s="224">
        <f>'laba rugi'!W17</f>
        <v>0</v>
      </c>
      <c r="Y9" s="224">
        <f>'laba rugi'!X17</f>
        <v>0</v>
      </c>
      <c r="Z9" s="224">
        <f>'laba rugi'!Y17</f>
        <v>0</v>
      </c>
      <c r="AA9" s="224">
        <f>'laba rugi'!Z17</f>
        <v>0</v>
      </c>
      <c r="AB9" s="224">
        <f>'laba rugi'!AA17</f>
        <v>0</v>
      </c>
      <c r="AC9" s="224">
        <f>'laba rugi'!AB17</f>
        <v>0</v>
      </c>
      <c r="AD9" s="224">
        <f>'laba rugi'!AC17</f>
        <v>0</v>
      </c>
      <c r="AE9" s="224">
        <f>'laba rugi'!AD17</f>
        <v>0</v>
      </c>
      <c r="AF9" s="224">
        <f>'laba rugi'!AE17</f>
        <v>0</v>
      </c>
      <c r="AG9" s="224">
        <f>'laba rugi'!AF17</f>
        <v>0</v>
      </c>
      <c r="AH9" s="224">
        <f>'laba rugi'!AG17</f>
        <v>0</v>
      </c>
    </row>
    <row r="10" spans="1:34" ht="20.100000000000001" customHeight="1" x14ac:dyDescent="0.3">
      <c r="A10" s="105"/>
      <c r="B10" s="221" t="s">
        <v>275</v>
      </c>
      <c r="C10" s="226"/>
      <c r="D10" s="224"/>
      <c r="E10" s="224">
        <f>'laba rugi'!D18</f>
        <v>-8508</v>
      </c>
      <c r="F10" s="224">
        <f>'laba rugi'!E18</f>
        <v>-8508</v>
      </c>
      <c r="G10" s="224">
        <f>'laba rugi'!F18</f>
        <v>-8508</v>
      </c>
      <c r="H10" s="224">
        <f>'laba rugi'!G18</f>
        <v>-8508</v>
      </c>
      <c r="I10" s="224">
        <f>'laba rugi'!H18</f>
        <v>-8508</v>
      </c>
      <c r="J10" s="224">
        <f>'laba rugi'!I18</f>
        <v>-8508</v>
      </c>
      <c r="K10" s="224">
        <f>'laba rugi'!J18</f>
        <v>-8508</v>
      </c>
      <c r="L10" s="224">
        <f>'laba rugi'!K18</f>
        <v>-8508</v>
      </c>
      <c r="M10" s="224">
        <f>'laba rugi'!L18</f>
        <v>-8508</v>
      </c>
      <c r="N10" s="226">
        <f>'laba rugi'!M18</f>
        <v>-8508</v>
      </c>
      <c r="O10" s="224">
        <f>'laba rugi'!N18</f>
        <v>-8508</v>
      </c>
      <c r="P10" s="224">
        <f>'laba rugi'!O18</f>
        <v>-8508</v>
      </c>
      <c r="Q10" s="224">
        <f>'laba rugi'!P18</f>
        <v>-8508</v>
      </c>
      <c r="R10" s="224">
        <f>'laba rugi'!Q18</f>
        <v>-8508</v>
      </c>
      <c r="S10" s="224">
        <f>'laba rugi'!R18</f>
        <v>-8508</v>
      </c>
      <c r="T10" s="224">
        <f>'laba rugi'!S18</f>
        <v>-8508</v>
      </c>
      <c r="U10" s="224">
        <f>'laba rugi'!T18</f>
        <v>-8508</v>
      </c>
      <c r="V10" s="224">
        <f>'laba rugi'!U18</f>
        <v>-8508</v>
      </c>
      <c r="W10" s="224">
        <f>'laba rugi'!V18</f>
        <v>-8508</v>
      </c>
      <c r="X10" s="224">
        <f>'laba rugi'!W18</f>
        <v>-8508</v>
      </c>
      <c r="Y10" s="226">
        <f>'laba rugi'!X18</f>
        <v>-8508</v>
      </c>
      <c r="Z10" s="226">
        <f>'laba rugi'!Y18</f>
        <v>-8508</v>
      </c>
      <c r="AA10" s="226">
        <f>'laba rugi'!Z18</f>
        <v>-8508</v>
      </c>
      <c r="AB10" s="226">
        <f>'laba rugi'!AA18</f>
        <v>-8508</v>
      </c>
      <c r="AC10" s="226">
        <f>'laba rugi'!AB18</f>
        <v>-8508</v>
      </c>
      <c r="AD10" s="226">
        <f>'laba rugi'!AC18</f>
        <v>-8508</v>
      </c>
      <c r="AE10" s="226">
        <f>'laba rugi'!AD18</f>
        <v>-8508</v>
      </c>
      <c r="AF10" s="226">
        <f>'laba rugi'!AE18</f>
        <v>-8508</v>
      </c>
      <c r="AG10" s="226">
        <f>'laba rugi'!AF18</f>
        <v>-8508</v>
      </c>
      <c r="AH10" s="226">
        <f>'laba rugi'!AG18</f>
        <v>-8508</v>
      </c>
    </row>
    <row r="11" spans="1:34" ht="20.100000000000001" customHeight="1" x14ac:dyDescent="0.3">
      <c r="A11" s="105"/>
      <c r="B11" s="215" t="s">
        <v>15</v>
      </c>
      <c r="C11" s="216">
        <f t="shared" ref="C11:M11" si="1">SUM(C6:C10)</f>
        <v>0</v>
      </c>
      <c r="D11" s="216">
        <f t="shared" si="1"/>
        <v>0</v>
      </c>
      <c r="E11" s="216">
        <f t="shared" si="1"/>
        <v>-25994.299999999988</v>
      </c>
      <c r="F11" s="216">
        <f t="shared" si="1"/>
        <v>22264.070000000094</v>
      </c>
      <c r="G11" s="216">
        <f t="shared" si="1"/>
        <v>76297.895000000077</v>
      </c>
      <c r="H11" s="216">
        <f t="shared" si="1"/>
        <v>127884.36231249999</v>
      </c>
      <c r="I11" s="216">
        <f t="shared" si="1"/>
        <v>178569.48676562493</v>
      </c>
      <c r="J11" s="216">
        <f t="shared" si="1"/>
        <v>235192.60818765618</v>
      </c>
      <c r="K11" s="216">
        <f t="shared" si="1"/>
        <v>298408.91320166411</v>
      </c>
      <c r="L11" s="216">
        <f t="shared" si="1"/>
        <v>368944.29755183472</v>
      </c>
      <c r="M11" s="216">
        <f t="shared" si="1"/>
        <v>447602.99893852283</v>
      </c>
      <c r="N11" s="216">
        <f t="shared" ref="N11:X11" si="2">SUM(N6:N10)</f>
        <v>449570.52697045478</v>
      </c>
      <c r="O11" s="216">
        <f t="shared" si="2"/>
        <v>675021.05166072899</v>
      </c>
      <c r="P11" s="216">
        <f t="shared" si="2"/>
        <v>776383.68213278486</v>
      </c>
      <c r="Q11" s="216">
        <f t="shared" si="2"/>
        <v>870439.17136734538</v>
      </c>
      <c r="R11" s="216">
        <f t="shared" si="2"/>
        <v>974620.12185142597</v>
      </c>
      <c r="S11" s="216">
        <f t="shared" si="2"/>
        <v>1090170.7265512822</v>
      </c>
      <c r="T11" s="216">
        <f t="shared" si="2"/>
        <v>1218275.5288468595</v>
      </c>
      <c r="U11" s="216">
        <f t="shared" si="2"/>
        <v>1360239.9053540167</v>
      </c>
      <c r="V11" s="216">
        <f t="shared" si="2"/>
        <v>1517502.2681930135</v>
      </c>
      <c r="W11" s="216">
        <f t="shared" si="2"/>
        <v>1691647.4934310901</v>
      </c>
      <c r="X11" s="216">
        <f t="shared" si="2"/>
        <v>1798716.1986139128</v>
      </c>
      <c r="Y11" s="216">
        <f t="shared" ref="Y11:AH11" si="3">SUM(Y6:Y10)</f>
        <v>2097748.5046070041</v>
      </c>
      <c r="Z11" s="216">
        <f t="shared" si="3"/>
        <v>2333746.9305059882</v>
      </c>
      <c r="AA11" s="216">
        <f t="shared" si="3"/>
        <v>2594751.0852667866</v>
      </c>
      <c r="AB11" s="216">
        <f t="shared" si="3"/>
        <v>2883331.8360891724</v>
      </c>
      <c r="AC11" s="216">
        <f t="shared" si="3"/>
        <v>3202320.6516085844</v>
      </c>
      <c r="AD11" s="216">
        <f t="shared" si="3"/>
        <v>3554835.8377754623</v>
      </c>
      <c r="AE11" s="216">
        <f t="shared" si="3"/>
        <v>3944311.4061093265</v>
      </c>
      <c r="AF11" s="216">
        <f t="shared" si="3"/>
        <v>4374528.8380043944</v>
      </c>
      <c r="AG11" s="216">
        <f t="shared" si="3"/>
        <v>4849652.0351531766</v>
      </c>
      <c r="AH11" s="216">
        <f t="shared" si="3"/>
        <v>5288560.2751842532</v>
      </c>
    </row>
    <row r="12" spans="1:34" ht="20.100000000000001" customHeight="1" x14ac:dyDescent="0.3">
      <c r="A12" s="106">
        <v>2</v>
      </c>
      <c r="B12" s="229" t="s">
        <v>129</v>
      </c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</row>
    <row r="13" spans="1:34" ht="20.100000000000001" customHeight="1" x14ac:dyDescent="0.3">
      <c r="A13" s="105"/>
      <c r="B13" s="232" t="s">
        <v>17</v>
      </c>
      <c r="C13" s="233">
        <f>'biaya investasi'!K11</f>
        <v>326447</v>
      </c>
      <c r="D13" s="233">
        <f>'biaya investasi'!K12</f>
        <v>585161</v>
      </c>
      <c r="E13" s="233"/>
      <c r="F13" s="233"/>
      <c r="G13" s="233"/>
      <c r="H13" s="233"/>
      <c r="I13" s="233"/>
      <c r="J13" s="233"/>
      <c r="K13" s="233"/>
      <c r="L13" s="233"/>
      <c r="M13" s="231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1"/>
      <c r="Y13" s="233">
        <f>'biaya investasi'!K89</f>
        <v>0</v>
      </c>
      <c r="Z13" s="233">
        <f>'biaya investasi'!K90</f>
        <v>0</v>
      </c>
      <c r="AA13" s="233"/>
      <c r="AB13" s="233"/>
      <c r="AC13" s="233"/>
      <c r="AD13" s="233"/>
      <c r="AE13" s="233"/>
      <c r="AF13" s="233"/>
      <c r="AG13" s="233"/>
      <c r="AH13" s="233"/>
    </row>
    <row r="14" spans="1:34" ht="20.100000000000001" customHeight="1" x14ac:dyDescent="0.3">
      <c r="A14" s="105"/>
      <c r="B14" s="232" t="s">
        <v>18</v>
      </c>
      <c r="C14" s="233">
        <f>'biaya investasi'!K15</f>
        <v>761709</v>
      </c>
      <c r="D14" s="233">
        <f>'biaya investasi'!K16</f>
        <v>1365377</v>
      </c>
      <c r="E14" s="233"/>
      <c r="F14" s="233"/>
      <c r="G14" s="233"/>
      <c r="H14" s="233"/>
      <c r="I14" s="233"/>
      <c r="J14" s="233"/>
      <c r="K14" s="233"/>
      <c r="L14" s="233"/>
      <c r="M14" s="231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1"/>
      <c r="Y14" s="233">
        <f>'biaya investasi'!K93</f>
        <v>0</v>
      </c>
      <c r="Z14" s="233">
        <f>'biaya investasi'!K94</f>
        <v>0</v>
      </c>
      <c r="AA14" s="233"/>
      <c r="AB14" s="233"/>
      <c r="AC14" s="233"/>
      <c r="AD14" s="233"/>
      <c r="AE14" s="233"/>
      <c r="AF14" s="233"/>
      <c r="AG14" s="233"/>
      <c r="AH14" s="233"/>
    </row>
    <row r="15" spans="1:34" ht="20.100000000000001" customHeight="1" x14ac:dyDescent="0.3">
      <c r="A15" s="105"/>
      <c r="B15" s="232" t="s">
        <v>19</v>
      </c>
      <c r="C15" s="233"/>
      <c r="D15" s="233"/>
      <c r="E15" s="233">
        <f>-'depresiasi, bunga, asuransi'!J48</f>
        <v>-75741.179999999993</v>
      </c>
      <c r="F15" s="233">
        <f>-'depresiasi, bunga, asuransi'!J49</f>
        <v>-87946.349999999948</v>
      </c>
      <c r="G15" s="233">
        <f>-'depresiasi, bunga, asuransi'!J50</f>
        <v>-101615.16999999998</v>
      </c>
      <c r="H15" s="233">
        <f>-'depresiasi, bunga, asuransi'!J51</f>
        <v>-116923.10999999996</v>
      </c>
      <c r="I15" s="233">
        <f>-'depresiasi, bunga, asuransi'!J52</f>
        <v>-134066.72999999995</v>
      </c>
      <c r="J15" s="233">
        <f>-'depresiasi, bunga, asuransi'!J53</f>
        <v>-153266.17999999996</v>
      </c>
      <c r="K15" s="233">
        <f>-'depresiasi, bunga, asuransi'!J54</f>
        <v>-174768</v>
      </c>
      <c r="L15" s="233">
        <f>-'depresiasi, bunga, asuransi'!J55</f>
        <v>-198848.25999999998</v>
      </c>
      <c r="M15" s="233">
        <f>-'depresiasi, bunga, asuransi'!J56</f>
        <v>-225816.15999999997</v>
      </c>
      <c r="N15" s="233">
        <f>-'depresiasi, bunga, asuransi'!J57</f>
        <v>-256018.02999999997</v>
      </c>
      <c r="O15" s="233">
        <f>-'depresiasi, bunga, asuransi'!J58</f>
        <v>-289841.59999999998</v>
      </c>
      <c r="P15" s="233">
        <f>-'depresiasi, bunga, asuransi'!J59</f>
        <v>-312236.62</v>
      </c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</row>
    <row r="16" spans="1:34" ht="20.100000000000001" customHeight="1" x14ac:dyDescent="0.3">
      <c r="A16" s="105"/>
      <c r="B16" s="232" t="s">
        <v>20</v>
      </c>
      <c r="C16" s="233">
        <f>-'biaya investasi'!K6</f>
        <v>-1088157</v>
      </c>
      <c r="D16" s="233">
        <f>-'biaya investasi'!K7</f>
        <v>-1950538</v>
      </c>
      <c r="E16" s="233"/>
      <c r="F16" s="233"/>
      <c r="G16" s="233"/>
      <c r="H16" s="233"/>
      <c r="I16" s="233"/>
      <c r="J16" s="233"/>
      <c r="K16" s="233"/>
      <c r="L16" s="233"/>
      <c r="M16" s="231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1"/>
      <c r="Y16" s="233">
        <f>-'biaya investasi'!K84</f>
        <v>0</v>
      </c>
      <c r="Z16" s="233">
        <f>-'biaya investasi'!K85</f>
        <v>0</v>
      </c>
      <c r="AA16" s="233"/>
      <c r="AB16" s="233"/>
      <c r="AC16" s="233"/>
      <c r="AD16" s="233"/>
      <c r="AE16" s="233"/>
      <c r="AF16" s="233"/>
      <c r="AG16" s="233"/>
      <c r="AH16" s="233"/>
    </row>
    <row r="17" spans="1:35" ht="20.100000000000001" customHeight="1" x14ac:dyDescent="0.3">
      <c r="A17" s="105"/>
      <c r="B17" s="215" t="s">
        <v>15</v>
      </c>
      <c r="C17" s="217">
        <f>C16+C14</f>
        <v>-326448</v>
      </c>
      <c r="D17" s="217">
        <f>D16+D14</f>
        <v>-585161</v>
      </c>
      <c r="E17" s="217">
        <f>SUM(E13:E16)</f>
        <v>-75741.179999999993</v>
      </c>
      <c r="F17" s="217">
        <f t="shared" ref="F17:M17" si="4">SUM(F13:F16)</f>
        <v>-87946.349999999948</v>
      </c>
      <c r="G17" s="217">
        <f t="shared" si="4"/>
        <v>-101615.16999999998</v>
      </c>
      <c r="H17" s="217">
        <f t="shared" si="4"/>
        <v>-116923.10999999996</v>
      </c>
      <c r="I17" s="217">
        <f t="shared" si="4"/>
        <v>-134066.72999999995</v>
      </c>
      <c r="J17" s="217">
        <f t="shared" si="4"/>
        <v>-153266.17999999996</v>
      </c>
      <c r="K17" s="217">
        <f t="shared" si="4"/>
        <v>-174768</v>
      </c>
      <c r="L17" s="217">
        <f t="shared" si="4"/>
        <v>-198848.25999999998</v>
      </c>
      <c r="M17" s="217">
        <f t="shared" si="4"/>
        <v>-225816.15999999997</v>
      </c>
      <c r="N17" s="217">
        <f t="shared" ref="N17:X17" si="5">SUM(N13:N16)</f>
        <v>-256018.02999999997</v>
      </c>
      <c r="O17" s="217">
        <f t="shared" si="5"/>
        <v>-289841.59999999998</v>
      </c>
      <c r="P17" s="217">
        <f t="shared" si="5"/>
        <v>-312236.62</v>
      </c>
      <c r="Q17" s="217">
        <f t="shared" si="5"/>
        <v>0</v>
      </c>
      <c r="R17" s="217">
        <f t="shared" si="5"/>
        <v>0</v>
      </c>
      <c r="S17" s="217">
        <f t="shared" si="5"/>
        <v>0</v>
      </c>
      <c r="T17" s="217">
        <f t="shared" si="5"/>
        <v>0</v>
      </c>
      <c r="U17" s="217">
        <f t="shared" si="5"/>
        <v>0</v>
      </c>
      <c r="V17" s="217">
        <f t="shared" si="5"/>
        <v>0</v>
      </c>
      <c r="W17" s="217">
        <f t="shared" si="5"/>
        <v>0</v>
      </c>
      <c r="X17" s="217">
        <f t="shared" si="5"/>
        <v>0</v>
      </c>
      <c r="Y17" s="217">
        <f t="shared" ref="Y17:AH17" si="6">SUM(Y13:Y16)</f>
        <v>0</v>
      </c>
      <c r="Z17" s="217">
        <f t="shared" si="6"/>
        <v>0</v>
      </c>
      <c r="AA17" s="217">
        <f t="shared" si="6"/>
        <v>0</v>
      </c>
      <c r="AB17" s="217">
        <f t="shared" si="6"/>
        <v>0</v>
      </c>
      <c r="AC17" s="217">
        <f t="shared" si="6"/>
        <v>0</v>
      </c>
      <c r="AD17" s="217">
        <f t="shared" si="6"/>
        <v>0</v>
      </c>
      <c r="AE17" s="217">
        <f t="shared" si="6"/>
        <v>0</v>
      </c>
      <c r="AF17" s="217">
        <f t="shared" si="6"/>
        <v>0</v>
      </c>
      <c r="AG17" s="217">
        <f t="shared" si="6"/>
        <v>0</v>
      </c>
      <c r="AH17" s="217">
        <f t="shared" si="6"/>
        <v>0</v>
      </c>
    </row>
    <row r="18" spans="1:35" ht="20.100000000000001" customHeight="1" x14ac:dyDescent="0.3">
      <c r="A18" s="105">
        <v>3</v>
      </c>
      <c r="B18" s="176" t="s">
        <v>21</v>
      </c>
      <c r="C18" s="177">
        <f>C17</f>
        <v>-326448</v>
      </c>
      <c r="D18" s="177">
        <f>D17</f>
        <v>-585161</v>
      </c>
      <c r="E18" s="177">
        <f t="shared" ref="E18:M18" si="7">E11+E17</f>
        <v>-101735.47999999998</v>
      </c>
      <c r="F18" s="177">
        <f t="shared" si="7"/>
        <v>-65682.279999999853</v>
      </c>
      <c r="G18" s="177">
        <f t="shared" si="7"/>
        <v>-25317.274999999907</v>
      </c>
      <c r="H18" s="177">
        <f t="shared" si="7"/>
        <v>10961.25231250003</v>
      </c>
      <c r="I18" s="177">
        <f t="shared" si="7"/>
        <v>44502.756765624974</v>
      </c>
      <c r="J18" s="177">
        <f t="shared" si="7"/>
        <v>81926.428187656216</v>
      </c>
      <c r="K18" s="177">
        <f t="shared" si="7"/>
        <v>123640.91320166411</v>
      </c>
      <c r="L18" s="177">
        <f t="shared" si="7"/>
        <v>170096.03755183474</v>
      </c>
      <c r="M18" s="177">
        <f t="shared" si="7"/>
        <v>221786.83893852285</v>
      </c>
      <c r="N18" s="177">
        <f t="shared" ref="N18:X18" si="8">N11+N17</f>
        <v>193552.49697045481</v>
      </c>
      <c r="O18" s="177">
        <f t="shared" si="8"/>
        <v>385179.45166072901</v>
      </c>
      <c r="P18" s="177">
        <f t="shared" si="8"/>
        <v>464147.06213278486</v>
      </c>
      <c r="Q18" s="177">
        <f t="shared" si="8"/>
        <v>870439.17136734538</v>
      </c>
      <c r="R18" s="177">
        <f t="shared" si="8"/>
        <v>974620.12185142597</v>
      </c>
      <c r="S18" s="177">
        <f t="shared" si="8"/>
        <v>1090170.7265512822</v>
      </c>
      <c r="T18" s="177">
        <f t="shared" si="8"/>
        <v>1218275.5288468595</v>
      </c>
      <c r="U18" s="177">
        <f t="shared" si="8"/>
        <v>1360239.9053540167</v>
      </c>
      <c r="V18" s="177">
        <f t="shared" si="8"/>
        <v>1517502.2681930135</v>
      </c>
      <c r="W18" s="177">
        <f t="shared" si="8"/>
        <v>1691647.4934310901</v>
      </c>
      <c r="X18" s="177">
        <f t="shared" si="8"/>
        <v>1798716.1986139128</v>
      </c>
      <c r="Y18" s="177">
        <f t="shared" ref="Y18:AH18" si="9">Y11+Y17</f>
        <v>2097748.5046070041</v>
      </c>
      <c r="Z18" s="177">
        <f t="shared" si="9"/>
        <v>2333746.9305059882</v>
      </c>
      <c r="AA18" s="177">
        <f t="shared" si="9"/>
        <v>2594751.0852667866</v>
      </c>
      <c r="AB18" s="177">
        <f t="shared" si="9"/>
        <v>2883331.8360891724</v>
      </c>
      <c r="AC18" s="177">
        <f t="shared" si="9"/>
        <v>3202320.6516085844</v>
      </c>
      <c r="AD18" s="177">
        <f t="shared" si="9"/>
        <v>3554835.8377754623</v>
      </c>
      <c r="AE18" s="177">
        <f t="shared" si="9"/>
        <v>3944311.4061093265</v>
      </c>
      <c r="AF18" s="177">
        <f t="shared" si="9"/>
        <v>4374528.8380043944</v>
      </c>
      <c r="AG18" s="177">
        <f t="shared" si="9"/>
        <v>4849652.0351531766</v>
      </c>
      <c r="AH18" s="177">
        <f t="shared" si="9"/>
        <v>5288560.2751842532</v>
      </c>
    </row>
    <row r="19" spans="1:35" ht="20.100000000000001" customHeight="1" x14ac:dyDescent="0.3">
      <c r="A19" s="105">
        <v>4</v>
      </c>
      <c r="B19" s="176" t="s">
        <v>22</v>
      </c>
      <c r="C19" s="177">
        <v>0</v>
      </c>
      <c r="D19" s="177">
        <f>C20</f>
        <v>-326448</v>
      </c>
      <c r="E19" s="177">
        <f t="shared" ref="E19:M19" si="10">D20</f>
        <v>-911609</v>
      </c>
      <c r="F19" s="177">
        <f t="shared" si="10"/>
        <v>-1013344.48</v>
      </c>
      <c r="G19" s="177">
        <f t="shared" si="10"/>
        <v>-1079026.7599999998</v>
      </c>
      <c r="H19" s="177">
        <f t="shared" si="10"/>
        <v>-1104344.0349999997</v>
      </c>
      <c r="I19" s="177">
        <f t="shared" si="10"/>
        <v>-1093382.7826874997</v>
      </c>
      <c r="J19" s="177">
        <f t="shared" si="10"/>
        <v>-1048880.0259218747</v>
      </c>
      <c r="K19" s="177">
        <f t="shared" si="10"/>
        <v>-966953.59773421846</v>
      </c>
      <c r="L19" s="177">
        <f t="shared" si="10"/>
        <v>-843312.68453255435</v>
      </c>
      <c r="M19" s="177">
        <f t="shared" si="10"/>
        <v>-673216.64698071964</v>
      </c>
      <c r="N19" s="177">
        <f>M20</f>
        <v>-451429.80804219679</v>
      </c>
      <c r="O19" s="177">
        <f t="shared" ref="O19:X19" si="11">N20</f>
        <v>-257877.31107174198</v>
      </c>
      <c r="P19" s="177">
        <f t="shared" si="11"/>
        <v>127302.14058898704</v>
      </c>
      <c r="Q19" s="177">
        <f t="shared" si="11"/>
        <v>591449.2027217719</v>
      </c>
      <c r="R19" s="177">
        <f t="shared" si="11"/>
        <v>1461888.3740891172</v>
      </c>
      <c r="S19" s="177">
        <f t="shared" si="11"/>
        <v>2436508.4959405432</v>
      </c>
      <c r="T19" s="177">
        <f t="shared" si="11"/>
        <v>3526679.2224918255</v>
      </c>
      <c r="U19" s="177">
        <f t="shared" si="11"/>
        <v>4744954.7513386849</v>
      </c>
      <c r="V19" s="177">
        <f t="shared" si="11"/>
        <v>6105194.6566927014</v>
      </c>
      <c r="W19" s="177">
        <f t="shared" si="11"/>
        <v>7622696.9248857144</v>
      </c>
      <c r="X19" s="177">
        <f t="shared" si="11"/>
        <v>9314344.4183168039</v>
      </c>
      <c r="Y19" s="177">
        <f>X20</f>
        <v>11113060.616930716</v>
      </c>
      <c r="Z19" s="177">
        <f t="shared" ref="Z19:AH19" si="12">Y20</f>
        <v>13210809.121537719</v>
      </c>
      <c r="AA19" s="177">
        <f t="shared" si="12"/>
        <v>15544556.052043706</v>
      </c>
      <c r="AB19" s="177">
        <f t="shared" si="12"/>
        <v>18139307.137310494</v>
      </c>
      <c r="AC19" s="177">
        <f t="shared" si="12"/>
        <v>21022638.973399665</v>
      </c>
      <c r="AD19" s="177">
        <f t="shared" si="12"/>
        <v>24224959.625008248</v>
      </c>
      <c r="AE19" s="177">
        <f t="shared" si="12"/>
        <v>27779795.462783709</v>
      </c>
      <c r="AF19" s="177">
        <f t="shared" si="12"/>
        <v>31724106.868893035</v>
      </c>
      <c r="AG19" s="177">
        <f t="shared" si="12"/>
        <v>36098635.70689743</v>
      </c>
      <c r="AH19" s="177">
        <f t="shared" si="12"/>
        <v>40948287.742050603</v>
      </c>
    </row>
    <row r="20" spans="1:35" ht="20.100000000000001" customHeight="1" x14ac:dyDescent="0.3">
      <c r="A20" s="105">
        <v>5</v>
      </c>
      <c r="B20" s="176" t="s">
        <v>23</v>
      </c>
      <c r="C20" s="177">
        <f t="shared" ref="C20:M20" si="13">C18+C19</f>
        <v>-326448</v>
      </c>
      <c r="D20" s="177">
        <f t="shared" si="13"/>
        <v>-911609</v>
      </c>
      <c r="E20" s="177">
        <f t="shared" si="13"/>
        <v>-1013344.48</v>
      </c>
      <c r="F20" s="177">
        <f t="shared" si="13"/>
        <v>-1079026.7599999998</v>
      </c>
      <c r="G20" s="177">
        <f t="shared" si="13"/>
        <v>-1104344.0349999997</v>
      </c>
      <c r="H20" s="177">
        <f t="shared" si="13"/>
        <v>-1093382.7826874997</v>
      </c>
      <c r="I20" s="177">
        <f t="shared" si="13"/>
        <v>-1048880.0259218747</v>
      </c>
      <c r="J20" s="177">
        <f t="shared" si="13"/>
        <v>-966953.59773421846</v>
      </c>
      <c r="K20" s="177">
        <f t="shared" si="13"/>
        <v>-843312.68453255435</v>
      </c>
      <c r="L20" s="177">
        <f t="shared" si="13"/>
        <v>-673216.64698071964</v>
      </c>
      <c r="M20" s="177">
        <f t="shared" si="13"/>
        <v>-451429.80804219679</v>
      </c>
      <c r="N20" s="177">
        <f t="shared" ref="N20:X20" si="14">N18+N19</f>
        <v>-257877.31107174198</v>
      </c>
      <c r="O20" s="177">
        <f t="shared" si="14"/>
        <v>127302.14058898704</v>
      </c>
      <c r="P20" s="177">
        <f t="shared" si="14"/>
        <v>591449.2027217719</v>
      </c>
      <c r="Q20" s="177">
        <f t="shared" si="14"/>
        <v>1461888.3740891172</v>
      </c>
      <c r="R20" s="177">
        <f t="shared" si="14"/>
        <v>2436508.4959405432</v>
      </c>
      <c r="S20" s="177">
        <f t="shared" si="14"/>
        <v>3526679.2224918255</v>
      </c>
      <c r="T20" s="177">
        <f t="shared" si="14"/>
        <v>4744954.7513386849</v>
      </c>
      <c r="U20" s="177">
        <f t="shared" si="14"/>
        <v>6105194.6566927014</v>
      </c>
      <c r="V20" s="177">
        <f t="shared" si="14"/>
        <v>7622696.9248857144</v>
      </c>
      <c r="W20" s="177">
        <f t="shared" si="14"/>
        <v>9314344.4183168039</v>
      </c>
      <c r="X20" s="177">
        <f t="shared" si="14"/>
        <v>11113060.616930716</v>
      </c>
      <c r="Y20" s="177">
        <f>Y18+Y19</f>
        <v>13210809.121537719</v>
      </c>
      <c r="Z20" s="177">
        <f t="shared" ref="Z20:AH20" si="15">Z18+Z19</f>
        <v>15544556.052043706</v>
      </c>
      <c r="AA20" s="177">
        <f t="shared" si="15"/>
        <v>18139307.137310494</v>
      </c>
      <c r="AB20" s="177">
        <f t="shared" si="15"/>
        <v>21022638.973399665</v>
      </c>
      <c r="AC20" s="177">
        <f t="shared" si="15"/>
        <v>24224959.625008248</v>
      </c>
      <c r="AD20" s="177">
        <f t="shared" si="15"/>
        <v>27779795.462783709</v>
      </c>
      <c r="AE20" s="177">
        <f t="shared" si="15"/>
        <v>31724106.868893035</v>
      </c>
      <c r="AF20" s="177">
        <f t="shared" si="15"/>
        <v>36098635.70689743</v>
      </c>
      <c r="AG20" s="177">
        <f t="shared" si="15"/>
        <v>40948287.742050603</v>
      </c>
      <c r="AH20" s="177">
        <f t="shared" si="15"/>
        <v>46236848.017234854</v>
      </c>
    </row>
    <row r="21" spans="1:35" ht="18.75" x14ac:dyDescent="0.3">
      <c r="A21" s="105"/>
      <c r="B21" s="105"/>
      <c r="C21" s="172">
        <f>C16+D16</f>
        <v>-3038695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</row>
    <row r="22" spans="1:35" x14ac:dyDescent="0.25">
      <c r="R22" s="1"/>
      <c r="S22" s="2"/>
    </row>
    <row r="23" spans="1:35" ht="15" customHeight="1" x14ac:dyDescent="0.25">
      <c r="B23" s="130" t="s">
        <v>272</v>
      </c>
      <c r="C23" s="146">
        <f>1/(1+$F$31)^C4</f>
        <v>1</v>
      </c>
      <c r="D23" s="146">
        <f>1/(1+$F$31)^D4</f>
        <v>0.89686098654708524</v>
      </c>
      <c r="E23" s="146">
        <f t="shared" ref="E23:M23" si="16">1/(1+$F$31)^E4</f>
        <v>0.80435962919021098</v>
      </c>
      <c r="F23" s="146">
        <f t="shared" si="16"/>
        <v>0.72139877057418023</v>
      </c>
      <c r="G23" s="146">
        <f t="shared" si="16"/>
        <v>0.64699441307101357</v>
      </c>
      <c r="H23" s="146">
        <f t="shared" si="16"/>
        <v>0.58026404759732153</v>
      </c>
      <c r="I23" s="146">
        <f t="shared" si="16"/>
        <v>0.52041618618593866</v>
      </c>
      <c r="J23" s="146">
        <f t="shared" si="16"/>
        <v>0.46674097415779248</v>
      </c>
      <c r="K23" s="146">
        <f t="shared" si="16"/>
        <v>0.41860177054510533</v>
      </c>
      <c r="L23" s="146">
        <f t="shared" si="16"/>
        <v>0.37542759690143979</v>
      </c>
      <c r="M23" s="146">
        <f t="shared" si="16"/>
        <v>0.33670636493402667</v>
      </c>
      <c r="N23" s="146">
        <f t="shared" ref="N23:AI23" si="17">1/(1+$F$31)^N4</f>
        <v>0.30197880263141408</v>
      </c>
      <c r="O23" s="146">
        <f t="shared" si="17"/>
        <v>0.27083300684431749</v>
      </c>
      <c r="P23" s="146">
        <f t="shared" si="17"/>
        <v>0.24289955770790811</v>
      </c>
      <c r="Q23" s="146">
        <f t="shared" si="17"/>
        <v>0.21784713695776511</v>
      </c>
      <c r="R23" s="146">
        <f t="shared" si="17"/>
        <v>0.1953785981683992</v>
      </c>
      <c r="S23" s="146">
        <f t="shared" si="17"/>
        <v>0.17522744230349702</v>
      </c>
      <c r="T23" s="146">
        <f t="shared" si="17"/>
        <v>0.15715465677443677</v>
      </c>
      <c r="U23" s="146">
        <f t="shared" si="17"/>
        <v>0.14094588051518991</v>
      </c>
      <c r="V23" s="146">
        <f t="shared" si="17"/>
        <v>0.12640886144860083</v>
      </c>
      <c r="W23" s="146">
        <f t="shared" si="17"/>
        <v>0.11337117618708593</v>
      </c>
      <c r="X23" s="146">
        <f t="shared" si="17"/>
        <v>0.1016781849211533</v>
      </c>
      <c r="Y23" s="146">
        <f t="shared" si="17"/>
        <v>9.1191197238702518E-2</v>
      </c>
      <c r="Z23" s="146">
        <f t="shared" si="17"/>
        <v>8.1785827119912571E-2</v>
      </c>
      <c r="AA23" s="146">
        <f t="shared" si="17"/>
        <v>7.3350517596334139E-2</v>
      </c>
      <c r="AB23" s="146">
        <f t="shared" si="17"/>
        <v>6.5785217575187571E-2</v>
      </c>
      <c r="AC23" s="146">
        <f t="shared" si="17"/>
        <v>5.900019513469737E-2</v>
      </c>
      <c r="AD23" s="146">
        <f t="shared" si="17"/>
        <v>5.2914973214975215E-2</v>
      </c>
      <c r="AE23" s="146">
        <f t="shared" si="17"/>
        <v>4.7457375080695252E-2</v>
      </c>
      <c r="AF23" s="146">
        <f t="shared" si="17"/>
        <v>4.2562668233807409E-2</v>
      </c>
      <c r="AG23" s="146">
        <f t="shared" si="17"/>
        <v>3.8172796622248796E-2</v>
      </c>
      <c r="AH23" s="146">
        <f t="shared" si="17"/>
        <v>3.4235692037891292E-2</v>
      </c>
      <c r="AI23" s="146">
        <f t="shared" si="17"/>
        <v>1</v>
      </c>
    </row>
    <row r="24" spans="1:35" ht="15" customHeight="1" x14ac:dyDescent="0.25">
      <c r="B24" s="131" t="s">
        <v>21</v>
      </c>
      <c r="C24" s="20">
        <f t="shared" ref="C24:M24" si="18">C18*C23</f>
        <v>-326448</v>
      </c>
      <c r="D24" s="20">
        <f t="shared" si="18"/>
        <v>-524808.07174887892</v>
      </c>
      <c r="E24" s="20">
        <f t="shared" si="18"/>
        <v>-81831.912968288103</v>
      </c>
      <c r="F24" s="20">
        <f t="shared" si="18"/>
        <v>-47383.116040508961</v>
      </c>
      <c r="G24" s="20">
        <f t="shared" si="18"/>
        <v>-16380.135479182385</v>
      </c>
      <c r="H24" s="20">
        <f t="shared" si="18"/>
        <v>6360.4206335867684</v>
      </c>
      <c r="I24" s="20">
        <f t="shared" si="18"/>
        <v>23159.954950727028</v>
      </c>
      <c r="J24" s="20">
        <f t="shared" si="18"/>
        <v>38238.420901575089</v>
      </c>
      <c r="K24" s="20">
        <f t="shared" si="18"/>
        <v>51756.305178030285</v>
      </c>
      <c r="L24" s="20">
        <f t="shared" si="18"/>
        <v>63858.746620542377</v>
      </c>
      <c r="M24" s="20">
        <f t="shared" si="18"/>
        <v>74677.040329198469</v>
      </c>
      <c r="N24" s="20">
        <f t="shared" ref="N24:AH24" si="19">N18*N23</f>
        <v>58448.751281458346</v>
      </c>
      <c r="O24" s="20">
        <f t="shared" si="19"/>
        <v>104319.30906792068</v>
      </c>
      <c r="P24" s="20">
        <f t="shared" si="19"/>
        <v>112741.11610347839</v>
      </c>
      <c r="Q24" s="20">
        <f t="shared" si="19"/>
        <v>189622.68137826567</v>
      </c>
      <c r="R24" s="20">
        <f t="shared" si="19"/>
        <v>190419.91315404602</v>
      </c>
      <c r="S24" s="20">
        <f t="shared" si="19"/>
        <v>191027.82808772623</v>
      </c>
      <c r="T24" s="20">
        <f t="shared" si="19"/>
        <v>191457.67259262365</v>
      </c>
      <c r="U24" s="20">
        <f t="shared" si="19"/>
        <v>191720.21117202047</v>
      </c>
      <c r="V24" s="20">
        <f t="shared" si="19"/>
        <v>191825.73396794815</v>
      </c>
      <c r="W24" s="20">
        <f t="shared" si="19"/>
        <v>191784.06602421842</v>
      </c>
      <c r="X24" s="20">
        <f t="shared" si="19"/>
        <v>182890.19826333932</v>
      </c>
      <c r="Y24" s="20">
        <f t="shared" si="19"/>
        <v>191296.19764081057</v>
      </c>
      <c r="Z24" s="20">
        <f t="shared" si="19"/>
        <v>190867.42299998936</v>
      </c>
      <c r="AA24" s="20">
        <f t="shared" si="19"/>
        <v>190326.33513796853</v>
      </c>
      <c r="AB24" s="20">
        <f t="shared" si="19"/>
        <v>189680.61217859128</v>
      </c>
      <c r="AC24" s="20">
        <f t="shared" si="19"/>
        <v>188937.54332877771</v>
      </c>
      <c r="AD24" s="20">
        <f t="shared" si="19"/>
        <v>188104.04313952258</v>
      </c>
      <c r="AE24" s="20">
        <f t="shared" si="19"/>
        <v>187186.66583479481</v>
      </c>
      <c r="AF24" s="20">
        <f t="shared" si="19"/>
        <v>186191.61961120408</v>
      </c>
      <c r="AG24" s="20">
        <f t="shared" si="19"/>
        <v>185124.78082657719</v>
      </c>
      <c r="AH24" s="20">
        <f t="shared" si="19"/>
        <v>181057.52090503371</v>
      </c>
      <c r="AI24" s="25">
        <f>SUM(C24:AH24)</f>
        <v>2936229.8750731163</v>
      </c>
    </row>
    <row r="25" spans="1:35" s="28" customFormat="1" x14ac:dyDescent="0.25">
      <c r="B25" s="131" t="s">
        <v>22</v>
      </c>
      <c r="C25" s="20">
        <f>C19</f>
        <v>0</v>
      </c>
      <c r="D25" s="147">
        <f>C26</f>
        <v>-326448</v>
      </c>
      <c r="E25" s="147">
        <f t="shared" ref="E25:AH25" si="20">D26</f>
        <v>-851256.07174887892</v>
      </c>
      <c r="F25" s="147">
        <f t="shared" si="20"/>
        <v>-933087.98471716698</v>
      </c>
      <c r="G25" s="147">
        <f t="shared" si="20"/>
        <v>-980471.10075767594</v>
      </c>
      <c r="H25" s="147">
        <f t="shared" si="20"/>
        <v>-996851.2362368583</v>
      </c>
      <c r="I25" s="147">
        <f t="shared" si="20"/>
        <v>-990490.81560327148</v>
      </c>
      <c r="J25" s="147">
        <f t="shared" si="20"/>
        <v>-967330.86065254442</v>
      </c>
      <c r="K25" s="147">
        <f t="shared" si="20"/>
        <v>-929092.43975096929</v>
      </c>
      <c r="L25" s="147">
        <f t="shared" si="20"/>
        <v>-877336.13457293902</v>
      </c>
      <c r="M25" s="147">
        <f t="shared" si="20"/>
        <v>-813477.38795239665</v>
      </c>
      <c r="N25" s="147">
        <f t="shared" si="20"/>
        <v>-738800.34762319818</v>
      </c>
      <c r="O25" s="147">
        <f t="shared" si="20"/>
        <v>-680351.59634173987</v>
      </c>
      <c r="P25" s="147">
        <f t="shared" si="20"/>
        <v>-576032.28727381921</v>
      </c>
      <c r="Q25" s="147">
        <f t="shared" si="20"/>
        <v>-463291.17117034085</v>
      </c>
      <c r="R25" s="147">
        <f t="shared" si="20"/>
        <v>-273668.48979207518</v>
      </c>
      <c r="S25" s="147">
        <f t="shared" si="20"/>
        <v>-83248.576638029161</v>
      </c>
      <c r="T25" s="147">
        <f t="shared" si="20"/>
        <v>107779.25144969707</v>
      </c>
      <c r="U25" s="147">
        <f t="shared" si="20"/>
        <v>299236.92404232069</v>
      </c>
      <c r="V25" s="147">
        <f t="shared" si="20"/>
        <v>490957.13521434116</v>
      </c>
      <c r="W25" s="147">
        <f t="shared" si="20"/>
        <v>682782.86918228935</v>
      </c>
      <c r="X25" s="147">
        <f t="shared" si="20"/>
        <v>874566.9352065078</v>
      </c>
      <c r="Y25" s="147">
        <f t="shared" si="20"/>
        <v>1057457.133469847</v>
      </c>
      <c r="Z25" s="147">
        <f t="shared" si="20"/>
        <v>1248753.3311106577</v>
      </c>
      <c r="AA25" s="147">
        <f t="shared" si="20"/>
        <v>1439620.7541106469</v>
      </c>
      <c r="AB25" s="147">
        <f t="shared" si="20"/>
        <v>1629947.0892486153</v>
      </c>
      <c r="AC25" s="147">
        <f t="shared" si="20"/>
        <v>1819627.7014272066</v>
      </c>
      <c r="AD25" s="147">
        <f t="shared" si="20"/>
        <v>2008565.2447559843</v>
      </c>
      <c r="AE25" s="147">
        <f t="shared" si="20"/>
        <v>2196669.2878955067</v>
      </c>
      <c r="AF25" s="147">
        <f t="shared" si="20"/>
        <v>2383855.9537303015</v>
      </c>
      <c r="AG25" s="147">
        <f t="shared" si="20"/>
        <v>2570047.5733415056</v>
      </c>
      <c r="AH25" s="147">
        <f t="shared" si="20"/>
        <v>2755172.3541680826</v>
      </c>
    </row>
    <row r="26" spans="1:35" x14ac:dyDescent="0.25">
      <c r="B26" s="131" t="s">
        <v>23</v>
      </c>
      <c r="C26" s="25">
        <f>SUM(C24:C25)</f>
        <v>-326448</v>
      </c>
      <c r="D26" s="25">
        <f>SUM(D24:D25)</f>
        <v>-851256.07174887892</v>
      </c>
      <c r="E26" s="25">
        <f>SUM(E24:E25)</f>
        <v>-933087.98471716698</v>
      </c>
      <c r="F26" s="25">
        <f>SUM(F24:F25)</f>
        <v>-980471.10075767594</v>
      </c>
      <c r="G26" s="25">
        <f t="shared" ref="G26:AH26" si="21">SUM(G24:G25)</f>
        <v>-996851.2362368583</v>
      </c>
      <c r="H26" s="25">
        <f t="shared" si="21"/>
        <v>-990490.81560327148</v>
      </c>
      <c r="I26" s="25">
        <f t="shared" si="21"/>
        <v>-967330.86065254442</v>
      </c>
      <c r="J26" s="25">
        <f t="shared" si="21"/>
        <v>-929092.43975096929</v>
      </c>
      <c r="K26" s="25">
        <f t="shared" si="21"/>
        <v>-877336.13457293902</v>
      </c>
      <c r="L26" s="25">
        <f t="shared" si="21"/>
        <v>-813477.38795239665</v>
      </c>
      <c r="M26" s="25">
        <f t="shared" si="21"/>
        <v>-738800.34762319818</v>
      </c>
      <c r="N26" s="25">
        <f t="shared" si="21"/>
        <v>-680351.59634173987</v>
      </c>
      <c r="O26" s="25">
        <f t="shared" si="21"/>
        <v>-576032.28727381921</v>
      </c>
      <c r="P26" s="25">
        <f t="shared" si="21"/>
        <v>-463291.17117034085</v>
      </c>
      <c r="Q26" s="25">
        <f t="shared" si="21"/>
        <v>-273668.48979207518</v>
      </c>
      <c r="R26" s="25">
        <f t="shared" si="21"/>
        <v>-83248.576638029161</v>
      </c>
      <c r="S26" s="25">
        <f t="shared" si="21"/>
        <v>107779.25144969707</v>
      </c>
      <c r="T26" s="25">
        <f t="shared" si="21"/>
        <v>299236.92404232069</v>
      </c>
      <c r="U26" s="25">
        <f t="shared" si="21"/>
        <v>490957.13521434116</v>
      </c>
      <c r="V26" s="25">
        <f t="shared" si="21"/>
        <v>682782.86918228935</v>
      </c>
      <c r="W26" s="25">
        <f t="shared" si="21"/>
        <v>874566.9352065078</v>
      </c>
      <c r="X26" s="25">
        <f t="shared" si="21"/>
        <v>1057457.133469847</v>
      </c>
      <c r="Y26" s="25">
        <f t="shared" si="21"/>
        <v>1248753.3311106577</v>
      </c>
      <c r="Z26" s="25">
        <f t="shared" si="21"/>
        <v>1439620.7541106469</v>
      </c>
      <c r="AA26" s="25">
        <f t="shared" si="21"/>
        <v>1629947.0892486153</v>
      </c>
      <c r="AB26" s="25">
        <f t="shared" si="21"/>
        <v>1819627.7014272066</v>
      </c>
      <c r="AC26" s="25">
        <f t="shared" si="21"/>
        <v>2008565.2447559843</v>
      </c>
      <c r="AD26" s="25">
        <f t="shared" si="21"/>
        <v>2196669.2878955067</v>
      </c>
      <c r="AE26" s="25">
        <f t="shared" si="21"/>
        <v>2383855.9537303015</v>
      </c>
      <c r="AF26" s="25">
        <f t="shared" si="21"/>
        <v>2570047.5733415056</v>
      </c>
      <c r="AG26" s="25">
        <f t="shared" si="21"/>
        <v>2755172.3541680826</v>
      </c>
      <c r="AH26" s="25">
        <f t="shared" si="21"/>
        <v>2936229.8750731163</v>
      </c>
    </row>
    <row r="27" spans="1:35" x14ac:dyDescent="0.25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</row>
    <row r="28" spans="1:35" x14ac:dyDescent="0.25">
      <c r="C28" s="25">
        <f>C16</f>
        <v>-1088157</v>
      </c>
      <c r="D28" s="25">
        <f>D16</f>
        <v>-1950538</v>
      </c>
      <c r="E28" s="69">
        <f>E18</f>
        <v>-101735.47999999998</v>
      </c>
      <c r="F28" s="69">
        <f t="shared" ref="F28:AH28" si="22">F18</f>
        <v>-65682.279999999853</v>
      </c>
      <c r="G28" s="69">
        <f t="shared" si="22"/>
        <v>-25317.274999999907</v>
      </c>
      <c r="H28" s="69">
        <f t="shared" si="22"/>
        <v>10961.25231250003</v>
      </c>
      <c r="I28" s="69">
        <f t="shared" si="22"/>
        <v>44502.756765624974</v>
      </c>
      <c r="J28" s="69">
        <f t="shared" si="22"/>
        <v>81926.428187656216</v>
      </c>
      <c r="K28" s="69">
        <f t="shared" si="22"/>
        <v>123640.91320166411</v>
      </c>
      <c r="L28" s="69">
        <f t="shared" si="22"/>
        <v>170096.03755183474</v>
      </c>
      <c r="M28" s="69">
        <f t="shared" si="22"/>
        <v>221786.83893852285</v>
      </c>
      <c r="N28" s="69">
        <f t="shared" si="22"/>
        <v>193552.49697045481</v>
      </c>
      <c r="O28" s="69">
        <f t="shared" si="22"/>
        <v>385179.45166072901</v>
      </c>
      <c r="P28" s="69">
        <f t="shared" si="22"/>
        <v>464147.06213278486</v>
      </c>
      <c r="Q28" s="69">
        <f t="shared" si="22"/>
        <v>870439.17136734538</v>
      </c>
      <c r="R28" s="69">
        <f t="shared" si="22"/>
        <v>974620.12185142597</v>
      </c>
      <c r="S28" s="69">
        <f t="shared" si="22"/>
        <v>1090170.7265512822</v>
      </c>
      <c r="T28" s="69">
        <f t="shared" si="22"/>
        <v>1218275.5288468595</v>
      </c>
      <c r="U28" s="69">
        <f t="shared" si="22"/>
        <v>1360239.9053540167</v>
      </c>
      <c r="V28" s="69">
        <f t="shared" si="22"/>
        <v>1517502.2681930135</v>
      </c>
      <c r="W28" s="69">
        <f t="shared" si="22"/>
        <v>1691647.4934310901</v>
      </c>
      <c r="X28" s="69">
        <f t="shared" si="22"/>
        <v>1798716.1986139128</v>
      </c>
      <c r="Y28" s="69">
        <f t="shared" si="22"/>
        <v>2097748.5046070041</v>
      </c>
      <c r="Z28" s="69">
        <f t="shared" si="22"/>
        <v>2333746.9305059882</v>
      </c>
      <c r="AA28" s="69">
        <f t="shared" si="22"/>
        <v>2594751.0852667866</v>
      </c>
      <c r="AB28" s="69">
        <f t="shared" si="22"/>
        <v>2883331.8360891724</v>
      </c>
      <c r="AC28" s="69">
        <f t="shared" si="22"/>
        <v>3202320.6516085844</v>
      </c>
      <c r="AD28" s="69">
        <f t="shared" si="22"/>
        <v>3554835.8377754623</v>
      </c>
      <c r="AE28" s="69">
        <f t="shared" si="22"/>
        <v>3944311.4061093265</v>
      </c>
      <c r="AF28" s="69">
        <f t="shared" si="22"/>
        <v>4374528.8380043944</v>
      </c>
      <c r="AG28" s="69">
        <f t="shared" si="22"/>
        <v>4849652.0351531766</v>
      </c>
      <c r="AH28" s="69">
        <f t="shared" si="22"/>
        <v>5288560.2751842532</v>
      </c>
    </row>
    <row r="29" spans="1:35" x14ac:dyDescent="0.25">
      <c r="F29" s="69"/>
    </row>
    <row r="30" spans="1:35" x14ac:dyDescent="0.25">
      <c r="E30" s="251" t="s">
        <v>276</v>
      </c>
      <c r="F30" s="251"/>
      <c r="G30" s="251"/>
      <c r="H30" s="251"/>
      <c r="I30" s="134"/>
    </row>
    <row r="31" spans="1:35" x14ac:dyDescent="0.25">
      <c r="C31" s="25">
        <f>SUM(C14:D14)</f>
        <v>2127086</v>
      </c>
      <c r="E31" s="135" t="s">
        <v>249</v>
      </c>
      <c r="F31" s="35">
        <v>0.115</v>
      </c>
      <c r="G31" s="135"/>
      <c r="H31" s="35"/>
    </row>
    <row r="32" spans="1:35" x14ac:dyDescent="0.25">
      <c r="C32">
        <f>C14/C31</f>
        <v>0.35809976653506254</v>
      </c>
      <c r="D32">
        <f>D14/C31</f>
        <v>0.64190023346493752</v>
      </c>
      <c r="E32" s="136" t="s">
        <v>246</v>
      </c>
      <c r="F32" s="20">
        <f>NPV(F31,E28:AH28)+(C28+D28)</f>
        <v>1184351.8307065293</v>
      </c>
      <c r="G32" s="69">
        <f>F32/-(C18+D18)</f>
        <v>1.2991883918505953</v>
      </c>
      <c r="H32" s="20"/>
      <c r="I32" s="133"/>
      <c r="AF32">
        <f>32/3</f>
        <v>10.666666666666666</v>
      </c>
    </row>
    <row r="33" spans="1:14" x14ac:dyDescent="0.25">
      <c r="A33" s="28"/>
      <c r="E33" s="135" t="s">
        <v>247</v>
      </c>
      <c r="F33" s="111">
        <f>NPV(F31,E28:AH28)/-(C28+D28)</f>
        <v>1.389756731329248</v>
      </c>
      <c r="H33" s="132"/>
    </row>
    <row r="34" spans="1:14" x14ac:dyDescent="0.25">
      <c r="E34" s="135" t="s">
        <v>248</v>
      </c>
      <c r="F34" s="21">
        <f>IRR(C28:AH28)</f>
        <v>0.13066754737857544</v>
      </c>
      <c r="G34" s="135"/>
      <c r="H34" s="35"/>
    </row>
    <row r="36" spans="1:14" x14ac:dyDescent="0.25">
      <c r="B36" s="268" t="s">
        <v>25</v>
      </c>
      <c r="N36" s="25" t="e">
        <f>SUM(#REF!)</f>
        <v>#REF!</v>
      </c>
    </row>
    <row r="37" spans="1:14" x14ac:dyDescent="0.25">
      <c r="B37" s="268"/>
    </row>
    <row r="38" spans="1:14" ht="15" customHeight="1" x14ac:dyDescent="0.25">
      <c r="B38" s="155" t="s">
        <v>128</v>
      </c>
    </row>
    <row r="39" spans="1:14" ht="15" customHeight="1" x14ac:dyDescent="0.25">
      <c r="B39" s="156" t="s">
        <v>57</v>
      </c>
    </row>
    <row r="40" spans="1:14" x14ac:dyDescent="0.25">
      <c r="B40" s="157" t="s">
        <v>58</v>
      </c>
    </row>
    <row r="41" spans="1:14" x14ac:dyDescent="0.25">
      <c r="B41" s="157" t="s">
        <v>59</v>
      </c>
    </row>
    <row r="42" spans="1:14" x14ac:dyDescent="0.25">
      <c r="B42" s="158" t="s">
        <v>60</v>
      </c>
    </row>
    <row r="43" spans="1:14" x14ac:dyDescent="0.25">
      <c r="B43" s="157" t="s">
        <v>275</v>
      </c>
    </row>
    <row r="44" spans="1:14" x14ac:dyDescent="0.25">
      <c r="B44" s="56" t="s">
        <v>15</v>
      </c>
    </row>
    <row r="45" spans="1:14" ht="15.75" x14ac:dyDescent="0.25">
      <c r="B45" s="159" t="s">
        <v>129</v>
      </c>
    </row>
    <row r="46" spans="1:14" x14ac:dyDescent="0.25">
      <c r="A46" s="28"/>
      <c r="B46" s="160" t="s">
        <v>17</v>
      </c>
    </row>
    <row r="47" spans="1:14" x14ac:dyDescent="0.25">
      <c r="B47" s="160" t="s">
        <v>18</v>
      </c>
    </row>
    <row r="48" spans="1:14" x14ac:dyDescent="0.25">
      <c r="B48" s="160" t="s">
        <v>19</v>
      </c>
    </row>
    <row r="49" spans="1:14" x14ac:dyDescent="0.25">
      <c r="B49" s="160" t="s">
        <v>20</v>
      </c>
    </row>
    <row r="50" spans="1:14" x14ac:dyDescent="0.25">
      <c r="B50" s="56" t="s">
        <v>15</v>
      </c>
    </row>
    <row r="51" spans="1:14" x14ac:dyDescent="0.25">
      <c r="B51" s="154" t="s">
        <v>21</v>
      </c>
    </row>
    <row r="52" spans="1:14" x14ac:dyDescent="0.25">
      <c r="B52" s="154" t="s">
        <v>22</v>
      </c>
    </row>
    <row r="53" spans="1:14" x14ac:dyDescent="0.25">
      <c r="A53" s="28">
        <v>2</v>
      </c>
      <c r="B53" s="154" t="s">
        <v>23</v>
      </c>
    </row>
    <row r="54" spans="1:14" x14ac:dyDescent="0.25">
      <c r="M54" s="45"/>
    </row>
    <row r="55" spans="1:14" x14ac:dyDescent="0.25">
      <c r="M55" s="45"/>
    </row>
    <row r="56" spans="1:14" x14ac:dyDescent="0.25">
      <c r="M56" s="57"/>
    </row>
    <row r="57" spans="1:14" x14ac:dyDescent="0.25">
      <c r="M57" s="45"/>
      <c r="N57" s="25">
        <f>SUM(E57:M57)</f>
        <v>0</v>
      </c>
    </row>
    <row r="58" spans="1:14" x14ac:dyDescent="0.25">
      <c r="M58" s="58"/>
    </row>
    <row r="59" spans="1:14" x14ac:dyDescent="0.25">
      <c r="A59">
        <v>3</v>
      </c>
      <c r="M59" s="59"/>
    </row>
    <row r="60" spans="1:14" x14ac:dyDescent="0.25">
      <c r="A60">
        <v>4</v>
      </c>
      <c r="M60" s="59"/>
    </row>
    <row r="61" spans="1:14" x14ac:dyDescent="0.25">
      <c r="A61">
        <v>5</v>
      </c>
      <c r="M61" s="59"/>
    </row>
    <row r="66" spans="2:2" x14ac:dyDescent="0.25">
      <c r="B66" s="268" t="s">
        <v>25</v>
      </c>
    </row>
    <row r="67" spans="2:2" x14ac:dyDescent="0.25">
      <c r="B67" s="268"/>
    </row>
    <row r="68" spans="2:2" ht="15.75" x14ac:dyDescent="0.25">
      <c r="B68" s="155" t="s">
        <v>128</v>
      </c>
    </row>
    <row r="69" spans="2:2" x14ac:dyDescent="0.25">
      <c r="B69" s="156" t="s">
        <v>57</v>
      </c>
    </row>
    <row r="70" spans="2:2" x14ac:dyDescent="0.25">
      <c r="B70" s="157" t="s">
        <v>58</v>
      </c>
    </row>
    <row r="71" spans="2:2" x14ac:dyDescent="0.25">
      <c r="B71" s="157" t="s">
        <v>59</v>
      </c>
    </row>
    <row r="72" spans="2:2" x14ac:dyDescent="0.25">
      <c r="B72" s="158" t="s">
        <v>60</v>
      </c>
    </row>
    <row r="73" spans="2:2" x14ac:dyDescent="0.25">
      <c r="B73" s="157" t="s">
        <v>275</v>
      </c>
    </row>
    <row r="74" spans="2:2" x14ac:dyDescent="0.25">
      <c r="B74" s="56" t="s">
        <v>15</v>
      </c>
    </row>
    <row r="75" spans="2:2" ht="15.75" x14ac:dyDescent="0.25">
      <c r="B75" s="159" t="s">
        <v>129</v>
      </c>
    </row>
    <row r="76" spans="2:2" x14ac:dyDescent="0.25">
      <c r="B76" s="160" t="s">
        <v>17</v>
      </c>
    </row>
    <row r="77" spans="2:2" x14ac:dyDescent="0.25">
      <c r="B77" s="160" t="s">
        <v>18</v>
      </c>
    </row>
    <row r="78" spans="2:2" x14ac:dyDescent="0.25">
      <c r="B78" s="160" t="s">
        <v>19</v>
      </c>
    </row>
    <row r="79" spans="2:2" x14ac:dyDescent="0.25">
      <c r="B79" s="160" t="s">
        <v>20</v>
      </c>
    </row>
    <row r="80" spans="2:2" x14ac:dyDescent="0.25">
      <c r="B80" s="56" t="s">
        <v>15</v>
      </c>
    </row>
    <row r="81" spans="2:2" x14ac:dyDescent="0.25">
      <c r="B81" s="154" t="s">
        <v>21</v>
      </c>
    </row>
    <row r="82" spans="2:2" x14ac:dyDescent="0.25">
      <c r="B82" s="154" t="s">
        <v>22</v>
      </c>
    </row>
    <row r="83" spans="2:2" x14ac:dyDescent="0.25">
      <c r="B83" s="154" t="s">
        <v>23</v>
      </c>
    </row>
  </sheetData>
  <mergeCells count="8">
    <mergeCell ref="B36:B37"/>
    <mergeCell ref="B66:B67"/>
    <mergeCell ref="N3:X3"/>
    <mergeCell ref="Y3:AH3"/>
    <mergeCell ref="C3:M3"/>
    <mergeCell ref="B3:B4"/>
    <mergeCell ref="E30:F30"/>
    <mergeCell ref="G30:H3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delphi</vt:lpstr>
      <vt:lpstr>aspek market</vt:lpstr>
      <vt:lpstr>biaya investasi</vt:lpstr>
      <vt:lpstr>energi, SDM, maintanance</vt:lpstr>
      <vt:lpstr>depresiasi, bunga, asuransi</vt:lpstr>
      <vt:lpstr>tarif</vt:lpstr>
      <vt:lpstr>pendapatan</vt:lpstr>
      <vt:lpstr>laba rugi</vt:lpstr>
      <vt:lpstr>cashflow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2019-11-07T07:50:40Z</dcterms:created>
  <dcterms:modified xsi:type="dcterms:W3CDTF">2020-04-12T20:12:19Z</dcterms:modified>
</cp:coreProperties>
</file>